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C:\Users\Rajvir\OneDrive\Desktop\"/>
    </mc:Choice>
  </mc:AlternateContent>
  <xr:revisionPtr revIDLastSave="0" documentId="13_ncr:1_{D14C5EC3-7F4E-40E1-B179-C990FC205648}" xr6:coauthVersionLast="36" xr6:coauthVersionMax="36" xr10:uidLastSave="{00000000-0000-0000-0000-000000000000}"/>
  <workbookProtection workbookPassword="D6E7" lockStructure="1"/>
  <bookViews>
    <workbookView xWindow="0" yWindow="0" windowWidth="19200" windowHeight="6810" xr2:uid="{00000000-000D-0000-FFFF-FFFF00000000}"/>
  </bookViews>
  <sheets>
    <sheet name="Main" sheetId="2" r:id="rId1"/>
    <sheet name="Data" sheetId="1" state="hidden" r:id="rId2"/>
    <sheet name="_SSC" sheetId="3" state="veryHidden" r:id="rId3"/>
    <sheet name="_Options" sheetId="4" state="veryHidden" r:id="rId4"/>
  </sheets>
  <definedNames>
    <definedName name="_Ctrl_1" hidden="1">Main!$C$4</definedName>
    <definedName name="_Ctrl_10" hidden="1">Main!$C$34</definedName>
    <definedName name="_Ctrl_11" hidden="1">Main!$C$36</definedName>
    <definedName name="_Ctrl_12" hidden="1">Main!$C$19</definedName>
    <definedName name="_Ctrl_2" hidden="1">Main!$C$6</definedName>
    <definedName name="_Ctrl_29" hidden="1">Main!$F$77</definedName>
    <definedName name="_Ctrl_3" hidden="1">Main!$C$13</definedName>
    <definedName name="_Ctrl_30" hidden="1">Main!$G$77</definedName>
    <definedName name="_Ctrl_4" hidden="1">Main!$C$15</definedName>
    <definedName name="_Ctrl_6" hidden="1">Main!$C$21</definedName>
    <definedName name="_Ctrl_7" hidden="1">Main!$C$28</definedName>
    <definedName name="_Ctrl_8" hidden="1">Main!$C$30</definedName>
    <definedName name="_Ctrl_9" hidden="1">Main!$C$32</definedName>
    <definedName name="_ctrl_ram_13" hidden="1">Data!$B$122</definedName>
    <definedName name="_ctrl_ram_14" hidden="1">Data!$B$123</definedName>
    <definedName name="_dep_ram_13" hidden="1">Main!$A$60:$I$76</definedName>
    <definedName name="_dep_ram_14" hidden="1">Main!$A$42:$I$58</definedName>
    <definedName name="_options1">_Options!$A$1:$A$2</definedName>
    <definedName name="_options2">_Options!$B$1:$B$3</definedName>
    <definedName name="_options3">_Options!$C$1:$C$3</definedName>
    <definedName name="_options4">_Options!$D$1:$D$3</definedName>
    <definedName name="_options5">_Options!$E$1:$E$2</definedName>
    <definedName name="_options6">_Options!$F$1:$F$2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2" i="1" l="1"/>
  <c r="B123" i="1"/>
  <c r="E96" i="1"/>
  <c r="G63" i="2" l="1"/>
  <c r="F63" i="2"/>
  <c r="P49" i="1" l="1"/>
  <c r="P51" i="1" s="1"/>
  <c r="P52" i="1" s="1"/>
  <c r="M49" i="1"/>
  <c r="M58" i="1" s="1"/>
  <c r="J49" i="1"/>
  <c r="J58" i="1" s="1"/>
  <c r="G49" i="1"/>
  <c r="G58" i="1" s="1"/>
  <c r="J41" i="1"/>
  <c r="J40" i="1"/>
  <c r="J39" i="1"/>
  <c r="J38" i="1"/>
  <c r="J37" i="1"/>
  <c r="J36" i="1"/>
  <c r="J35" i="1"/>
  <c r="J34" i="1"/>
  <c r="G26" i="1"/>
  <c r="F26" i="1"/>
  <c r="E26" i="1"/>
  <c r="C23" i="1"/>
  <c r="C21" i="1"/>
  <c r="C19" i="1"/>
  <c r="C17" i="1"/>
  <c r="C15" i="1"/>
  <c r="E4" i="1"/>
  <c r="C4" i="1"/>
  <c r="C3" i="1"/>
  <c r="G65" i="2" s="1"/>
  <c r="E2" i="1"/>
  <c r="C2" i="1"/>
  <c r="C25" i="1" l="1"/>
  <c r="C27" i="1" s="1"/>
  <c r="C7" i="1"/>
  <c r="G66" i="2"/>
  <c r="G68" i="2" s="1"/>
  <c r="G48" i="2"/>
  <c r="F66" i="2"/>
  <c r="F48" i="2"/>
  <c r="F65" i="2"/>
  <c r="F47" i="2"/>
  <c r="P58" i="1"/>
  <c r="E7" i="1"/>
  <c r="P50" i="1"/>
  <c r="P53" i="1" s="1"/>
  <c r="J51" i="1"/>
  <c r="J52" i="1" s="1"/>
  <c r="J50" i="1"/>
  <c r="M51" i="1"/>
  <c r="M52" i="1" s="1"/>
  <c r="G51" i="1"/>
  <c r="G52" i="1" s="1"/>
  <c r="M50" i="1"/>
  <c r="G50" i="1"/>
  <c r="F45" i="2"/>
  <c r="K104" i="1" l="1"/>
  <c r="N104" i="1"/>
  <c r="H104" i="1"/>
  <c r="C104" i="1"/>
  <c r="C90" i="1"/>
  <c r="E90" i="1" s="1"/>
  <c r="C91" i="1"/>
  <c r="E91" i="1" s="1"/>
  <c r="C92" i="1"/>
  <c r="E92" i="1" s="1"/>
  <c r="C93" i="1"/>
  <c r="E93" i="1" s="1"/>
  <c r="C89" i="1"/>
  <c r="C94" i="1"/>
  <c r="E94" i="1" s="1"/>
  <c r="F67" i="2"/>
  <c r="F68" i="2" s="1"/>
  <c r="F49" i="2"/>
  <c r="F50" i="2" s="1"/>
  <c r="J53" i="1"/>
  <c r="J60" i="1" s="1"/>
  <c r="J61" i="1" s="1"/>
  <c r="J62" i="1" s="1"/>
  <c r="J63" i="1" s="1"/>
  <c r="J54" i="1" s="1"/>
  <c r="J55" i="1" s="1"/>
  <c r="G53" i="1"/>
  <c r="M53" i="1"/>
  <c r="P60" i="1"/>
  <c r="P61" i="1" s="1"/>
  <c r="P62" i="1" s="1"/>
  <c r="P63" i="1" s="1"/>
  <c r="P54" i="1" s="1"/>
  <c r="P55" i="1" s="1"/>
  <c r="G45" i="2"/>
  <c r="G50" i="2" s="1"/>
  <c r="K106" i="1" l="1"/>
  <c r="K107" i="1" s="1"/>
  <c r="K113" i="1"/>
  <c r="K105" i="1"/>
  <c r="C105" i="1"/>
  <c r="C113" i="1"/>
  <c r="C106" i="1"/>
  <c r="C107" i="1" s="1"/>
  <c r="H106" i="1"/>
  <c r="H107" i="1" s="1"/>
  <c r="H105" i="1"/>
  <c r="H113" i="1"/>
  <c r="N106" i="1"/>
  <c r="N107" i="1" s="1"/>
  <c r="N113" i="1"/>
  <c r="N105" i="1"/>
  <c r="E95" i="1"/>
  <c r="G70" i="2" s="1"/>
  <c r="O49" i="1"/>
  <c r="L49" i="1"/>
  <c r="F49" i="1"/>
  <c r="I49" i="1"/>
  <c r="N68" i="1"/>
  <c r="P56" i="1"/>
  <c r="P57" i="1" s="1"/>
  <c r="J56" i="1"/>
  <c r="J57" i="1" s="1"/>
  <c r="D40" i="1"/>
  <c r="L40" i="1" s="1"/>
  <c r="D36" i="1"/>
  <c r="L36" i="1" s="1"/>
  <c r="D41" i="1"/>
  <c r="L41" i="1" s="1"/>
  <c r="D37" i="1"/>
  <c r="L37" i="1" s="1"/>
  <c r="D39" i="1"/>
  <c r="L39" i="1" s="1"/>
  <c r="D34" i="1"/>
  <c r="C68" i="1"/>
  <c r="K68" i="1"/>
  <c r="D38" i="1"/>
  <c r="L38" i="1" s="1"/>
  <c r="D35" i="1"/>
  <c r="L35" i="1" s="1"/>
  <c r="H68" i="1"/>
  <c r="M60" i="1"/>
  <c r="M61" i="1" s="1"/>
  <c r="M62" i="1" s="1"/>
  <c r="M63" i="1" s="1"/>
  <c r="M54" i="1" s="1"/>
  <c r="M55" i="1" s="1"/>
  <c r="G60" i="1"/>
  <c r="G61" i="1" s="1"/>
  <c r="G62" i="1" s="1"/>
  <c r="G63" i="1" s="1"/>
  <c r="G54" i="1" s="1"/>
  <c r="G55" i="1" s="1"/>
  <c r="G71" i="2" l="1"/>
  <c r="H108" i="1"/>
  <c r="H115" i="1" s="1"/>
  <c r="H116" i="1" s="1"/>
  <c r="H117" i="1" s="1"/>
  <c r="H118" i="1" s="1"/>
  <c r="H109" i="1" s="1"/>
  <c r="H110" i="1" s="1"/>
  <c r="N108" i="1"/>
  <c r="N115" i="1" s="1"/>
  <c r="C108" i="1"/>
  <c r="K108" i="1"/>
  <c r="I51" i="1"/>
  <c r="I52" i="1" s="1"/>
  <c r="I50" i="1"/>
  <c r="I58" i="1"/>
  <c r="F51" i="1"/>
  <c r="F52" i="1" s="1"/>
  <c r="F58" i="1"/>
  <c r="F50" i="1"/>
  <c r="L58" i="1"/>
  <c r="L51" i="1"/>
  <c r="L52" i="1" s="1"/>
  <c r="L50" i="1"/>
  <c r="O58" i="1"/>
  <c r="O50" i="1"/>
  <c r="O51" i="1"/>
  <c r="O52" i="1" s="1"/>
  <c r="G56" i="1"/>
  <c r="G57" i="1" s="1"/>
  <c r="H77" i="1"/>
  <c r="H69" i="1"/>
  <c r="H70" i="1"/>
  <c r="H71" i="1" s="1"/>
  <c r="M56" i="1"/>
  <c r="M57" i="1" s="1"/>
  <c r="I43" i="1"/>
  <c r="I44" i="1" s="1"/>
  <c r="G52" i="2" s="1"/>
  <c r="K77" i="1"/>
  <c r="K69" i="1"/>
  <c r="K70" i="1"/>
  <c r="K71" i="1" s="1"/>
  <c r="C77" i="1"/>
  <c r="C69" i="1"/>
  <c r="C70" i="1"/>
  <c r="C71" i="1" s="1"/>
  <c r="N77" i="1"/>
  <c r="N69" i="1"/>
  <c r="N70" i="1"/>
  <c r="N71" i="1" s="1"/>
  <c r="G53" i="2" l="1"/>
  <c r="N116" i="1"/>
  <c r="N117" i="1" s="1"/>
  <c r="N118" i="1" s="1"/>
  <c r="N109" i="1" s="1"/>
  <c r="N110" i="1" s="1"/>
  <c r="N111" i="1" s="1"/>
  <c r="N112" i="1" s="1"/>
  <c r="H111" i="1"/>
  <c r="H112" i="1" s="1"/>
  <c r="C115" i="1"/>
  <c r="C116" i="1" s="1"/>
  <c r="C117" i="1" s="1"/>
  <c r="C118" i="1" s="1"/>
  <c r="C109" i="1" s="1"/>
  <c r="K115" i="1"/>
  <c r="K116" i="1" s="1"/>
  <c r="K117" i="1" s="1"/>
  <c r="K118" i="1" s="1"/>
  <c r="K109" i="1" s="1"/>
  <c r="K110" i="1" s="1"/>
  <c r="F53" i="1"/>
  <c r="F60" i="1" s="1"/>
  <c r="F61" i="1" s="1"/>
  <c r="F62" i="1" s="1"/>
  <c r="F63" i="1" s="1"/>
  <c r="F54" i="1" s="1"/>
  <c r="F55" i="1" s="1"/>
  <c r="F56" i="1" s="1"/>
  <c r="F57" i="1" s="1"/>
  <c r="I53" i="1"/>
  <c r="I60" i="1" s="1"/>
  <c r="I61" i="1" s="1"/>
  <c r="I62" i="1" s="1"/>
  <c r="I63" i="1" s="1"/>
  <c r="I54" i="1" s="1"/>
  <c r="I55" i="1" s="1"/>
  <c r="I56" i="1" s="1"/>
  <c r="I57" i="1" s="1"/>
  <c r="O53" i="1"/>
  <c r="O60" i="1" s="1"/>
  <c r="O61" i="1" s="1"/>
  <c r="O62" i="1" s="1"/>
  <c r="O63" i="1" s="1"/>
  <c r="O54" i="1" s="1"/>
  <c r="O55" i="1" s="1"/>
  <c r="O56" i="1" s="1"/>
  <c r="O57" i="1" s="1"/>
  <c r="L53" i="1"/>
  <c r="L60" i="1" s="1"/>
  <c r="L61" i="1" s="1"/>
  <c r="L62" i="1" s="1"/>
  <c r="L63" i="1" s="1"/>
  <c r="L54" i="1" s="1"/>
  <c r="L55" i="1" s="1"/>
  <c r="L56" i="1" s="1"/>
  <c r="L57" i="1" s="1"/>
  <c r="H72" i="1"/>
  <c r="H79" i="1" s="1"/>
  <c r="H80" i="1" s="1"/>
  <c r="H81" i="1" s="1"/>
  <c r="H82" i="1" s="1"/>
  <c r="H73" i="1" s="1"/>
  <c r="H74" i="1" s="1"/>
  <c r="N49" i="1"/>
  <c r="K49" i="1"/>
  <c r="H49" i="1"/>
  <c r="C41" i="1"/>
  <c r="C37" i="1"/>
  <c r="C34" i="1"/>
  <c r="F34" i="1" s="1"/>
  <c r="C49" i="1"/>
  <c r="C39" i="1"/>
  <c r="C40" i="1"/>
  <c r="C36" i="1"/>
  <c r="C38" i="1"/>
  <c r="C35" i="1"/>
  <c r="K72" i="1"/>
  <c r="N72" i="1"/>
  <c r="N79" i="1" s="1"/>
  <c r="C72" i="1"/>
  <c r="C110" i="1" l="1"/>
  <c r="C111" i="1" s="1"/>
  <c r="C112" i="1" s="1"/>
  <c r="G72" i="2"/>
  <c r="K111" i="1"/>
  <c r="K112" i="1" s="1"/>
  <c r="F40" i="1"/>
  <c r="H40" i="1"/>
  <c r="F38" i="1"/>
  <c r="H38" i="1"/>
  <c r="F37" i="1"/>
  <c r="H37" i="1"/>
  <c r="F36" i="1"/>
  <c r="H36" i="1"/>
  <c r="F39" i="1"/>
  <c r="H39" i="1"/>
  <c r="F35" i="1"/>
  <c r="H35" i="1"/>
  <c r="F41" i="1"/>
  <c r="F42" i="1" s="1"/>
  <c r="F43" i="1" s="1"/>
  <c r="F44" i="1" s="1"/>
  <c r="H41" i="1"/>
  <c r="H75" i="1"/>
  <c r="H76" i="1" s="1"/>
  <c r="K79" i="1"/>
  <c r="K80" i="1" s="1"/>
  <c r="K81" i="1" s="1"/>
  <c r="K82" i="1" s="1"/>
  <c r="K73" i="1" s="1"/>
  <c r="K74" i="1" s="1"/>
  <c r="H34" i="1"/>
  <c r="C79" i="1"/>
  <c r="C80" i="1" s="1"/>
  <c r="C81" i="1" s="1"/>
  <c r="C82" i="1" s="1"/>
  <c r="C73" i="1" s="1"/>
  <c r="N50" i="1"/>
  <c r="N58" i="1"/>
  <c r="N51" i="1"/>
  <c r="N52" i="1" s="1"/>
  <c r="H51" i="1"/>
  <c r="H52" i="1" s="1"/>
  <c r="H58" i="1"/>
  <c r="H50" i="1"/>
  <c r="K51" i="1"/>
  <c r="K52" i="1" s="1"/>
  <c r="K50" i="1"/>
  <c r="K58" i="1"/>
  <c r="N80" i="1"/>
  <c r="N81" i="1" s="1"/>
  <c r="N82" i="1" s="1"/>
  <c r="C58" i="1"/>
  <c r="C50" i="1"/>
  <c r="C51" i="1"/>
  <c r="C52" i="1" s="1"/>
  <c r="G73" i="2" l="1"/>
  <c r="G74" i="2"/>
  <c r="H43" i="1"/>
  <c r="H44" i="1" s="1"/>
  <c r="F70" i="2" s="1"/>
  <c r="F71" i="2" s="1"/>
  <c r="N73" i="1"/>
  <c r="N74" i="1" s="1"/>
  <c r="N75" i="1" s="1"/>
  <c r="N76" i="1" s="1"/>
  <c r="N53" i="1"/>
  <c r="N60" i="1" s="1"/>
  <c r="H53" i="1"/>
  <c r="H60" i="1" s="1"/>
  <c r="H61" i="1" s="1"/>
  <c r="K53" i="1"/>
  <c r="K60" i="1" s="1"/>
  <c r="K61" i="1" s="1"/>
  <c r="K62" i="1" s="1"/>
  <c r="K63" i="1" s="1"/>
  <c r="K54" i="1" s="1"/>
  <c r="K55" i="1" s="1"/>
  <c r="C74" i="1"/>
  <c r="C75" i="1" s="1"/>
  <c r="K75" i="1"/>
  <c r="K76" i="1" s="1"/>
  <c r="C53" i="1"/>
  <c r="F52" i="2" l="1"/>
  <c r="G54" i="2"/>
  <c r="C76" i="1"/>
  <c r="H62" i="1"/>
  <c r="H63" i="1" s="1"/>
  <c r="H54" i="1" s="1"/>
  <c r="H55" i="1" s="1"/>
  <c r="H56" i="1" s="1"/>
  <c r="H57" i="1" s="1"/>
  <c r="K56" i="1"/>
  <c r="K57" i="1" s="1"/>
  <c r="C60" i="1"/>
  <c r="C61" i="1" s="1"/>
  <c r="C62" i="1" s="1"/>
  <c r="C63" i="1" s="1"/>
  <c r="C54" i="1" s="1"/>
  <c r="N61" i="1"/>
  <c r="N62" i="1" s="1"/>
  <c r="N63" i="1" s="1"/>
  <c r="N54" i="1" s="1"/>
  <c r="N55" i="1" s="1"/>
  <c r="F54" i="2" l="1"/>
  <c r="G55" i="2"/>
  <c r="G56" i="2" s="1"/>
  <c r="F53" i="2"/>
  <c r="F55" i="2"/>
  <c r="F56" i="2" s="1"/>
  <c r="F72" i="2"/>
  <c r="N56" i="1"/>
  <c r="N57" i="1" s="1"/>
  <c r="C55" i="1"/>
  <c r="F73" i="2" l="1"/>
  <c r="F74" i="2" s="1"/>
  <c r="C56" i="1"/>
  <c r="C57" i="1" s="1"/>
</calcChain>
</file>

<file path=xl/sharedStrings.xml><?xml version="1.0" encoding="utf-8"?>
<sst xmlns="http://schemas.openxmlformats.org/spreadsheetml/2006/main" count="271" uniqueCount="157">
  <si>
    <t>Income Range</t>
  </si>
  <si>
    <t>Below 60 Years</t>
  </si>
  <si>
    <t>60 Years to 80 Years</t>
  </si>
  <si>
    <t>Above 80 Years</t>
  </si>
  <si>
    <t>Rs.0 to Rs. 2,50,000</t>
  </si>
  <si>
    <t>2.5 Lakh to 3 Lakh</t>
  </si>
  <si>
    <t>3 Lakh to 5 Lakh</t>
  </si>
  <si>
    <t>5 Lakh to 7.50 Lakh</t>
  </si>
  <si>
    <t>7.50 Lakh to 10 Lakh</t>
  </si>
  <si>
    <t>10 Lakh to 12.50 Lakh</t>
  </si>
  <si>
    <t>12.50 Lakh to 15 Lakh</t>
  </si>
  <si>
    <t>Above 15 Lakh</t>
  </si>
  <si>
    <t>New Tax Regime</t>
  </si>
  <si>
    <t>Nil</t>
  </si>
  <si>
    <t xml:space="preserve">Financial Year </t>
  </si>
  <si>
    <t>{"BrowserAndLocation":{"ConversionPath":"C:\\Users\\rajvirnew\\Documents\\SpreadsheetConverter","SelectedBrowsers":[]},"SpreadsheetServer":{"Username":"","Password":"","ServerUrl":"","TestUsername":"","TestPassword":""},"ConfigureSubmitDefault":{"Email":"pankaj_adv@yahoo.com","Free":false,"Advanced":false,"AdvancedSecured":false,"Demo":true},"MessageBubble":{"Close":false,"TopMsg":0},"CustomizeTheme":{"Theme":"C:\\Users\\rajvirnew\\AppData\\Roaming\\SpreadsheetConverter\\V10\\SupportFiles\\themes\\bootstrap\\css\\default-ssc-theme.css"},"QrSetting":{"ShowOnConversion":true},"CongratsPage":{"LastOpenedVersion":""},"WordPressPluginSetting":{"IsPluginInstalled":false},"Preferences":{"IsAdvancedSettingModelInitialize":true,"IsCaptchaInitialize":true,"IsNodeSettingInitialize":false,"IsRequiredFieldModalInitialize":true,"IsSubmitDialogModelInitialize":true,"IsToolbarButtonModelInitialize":true,"IsWizardButtonModelInitialize":true,"ReadFromHidden":false,"AdvancedSetting":null,"NodeSetting":{"LoginText":{"LoginButtonText":"Login","PageDescription":"Restricted access only","LoginErrorMessage":"Authentication failed, please check your username and password.","PlaceholderPassword":"password","PlaceholderUsername":"username / email","UserExtraMessage":""}},"Captcha":{"Heading":"Enter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 or invalid.","OkButton":"OK","DDLDefaultRequiredText":"Please Select"},"WizardButton":{"Next":"Next","Previous":"Previous","Cancel":"Cancel","Finish":"Finish"},"ToolbarButton":{"Submit":"Submit","PrintSheet":"Print","PrintAll":"Print All","Reset":"Reset","Update":"Update","Back":"Back","PrintThis":"Print This"},"SubmitDialog":{"SubmitDialogHeading":"Submit Successful.","SubmitDialogDesc":"The form was successfully submitted.","BeforeSubmitDesc":"The form is being submitted.","OfflineHeading":"Save until online","OfflineDesc":"You are currently offline and the submit failed. Do you want to save the submit and send it later when you are online.","OfflineConfirm":"Do you want to save?","OfflineSubmitHeading":"Offline forms submit confirmation","OfflineSubmitDesc":"There are Offline form(s), which are now ready to submit in server.","OfflineSubmitConfirm":"Do you want to submit?","FailOfflineHeading":"Offline Form submit failed","FailOfflineDesc":"Unable to connect to the Internet. Please try submitting the offline forms later in internet connection.","OfflineSubmitWait":"It may take sometime to finish all submits depending on the size of offline forms and internet connection.","OfflineSubmitWaitCounter":"Left","OfflineSubmitError":"Submit error: Please try later."}},"UxPreferences":null}</t>
  </si>
  <si>
    <t>_Ctrl_1</t>
  </si>
  <si>
    <t>2023-24 (AY 2024-25)</t>
  </si>
  <si>
    <t>2022-23 (AY 2023-24)</t>
  </si>
  <si>
    <t>Your Age</t>
  </si>
  <si>
    <t>_Ctrl_2</t>
  </si>
  <si>
    <t>0 to 60 Years</t>
  </si>
  <si>
    <t>60 to 80 Years</t>
  </si>
  <si>
    <t>{"WidgetClassification":0,"State":1,"IsRequired":false,"DDLDefaultRequiredText":"Please Select","ListItem":"0 to 60 Years\r\n60 to 80 Years\r\nAbove 80 Years","VlookupRange":"","ShowListLabel":false,"ShowDt":false,"CellName":"_Ctrl_2","CellAddress":"='Main'!$B$5","WidgetName":3,"HiddenRow":2,"SheetCodeName":null,"ControlId":"age","wcb":0}</t>
  </si>
  <si>
    <t xml:space="preserve">Income from Salary </t>
  </si>
  <si>
    <t>Income from Interest</t>
  </si>
  <si>
    <t>Income from Digital Assets</t>
  </si>
  <si>
    <t>Other Income</t>
  </si>
  <si>
    <t>{"IsHide":false,"HiddenInExcel":false,"SheetId":-1,"Name":"Main","Guid":"X1AY42","Index":1,"VisibleRange":"","SheetTheme":{"TabColor":"","BodyColor":"","BodyImage":""},"IsPrintSheet":false}</t>
  </si>
  <si>
    <t>_Ctrl_3</t>
  </si>
  <si>
    <t>{"WidgetClassification":0,"State":1,"IsRequired":false,"IsMultiline":false,"IsHidden":false,"Placeholder":"","InputType":1,"Rows":3,"IsMergeJustify":false,"CellName":"_Ctrl_3","CellAddress":"='Main'!$C$9","WidgetName":4,"HiddenRow":3,"SheetCodeName":null,"ControlId":"","wcb":0}</t>
  </si>
  <si>
    <t>_Ctrl_4</t>
  </si>
  <si>
    <t>{"WidgetClassification":0,"State":1,"IsRequired":false,"IsMultiline":false,"IsHidden":false,"Placeholder":"","InputType":1,"Rows":3,"IsMergeJustify":false,"CellName":"_Ctrl_4","CellAddress":"='Main'!$C$11","WidgetName":4,"HiddenRow":4,"SheetCodeName":null,"ControlId":"","wcb":0}</t>
  </si>
  <si>
    <t>_Ctrl_5</t>
  </si>
  <si>
    <t>_Ctrl_6</t>
  </si>
  <si>
    <t>{"WidgetClassification":0,"State":1,"IsRequired":false,"IsMultiline":false,"IsHidden":false,"Placeholder":"","InputType":1,"Rows":3,"IsMergeJustify":false,"CellName":"_Ctrl_6","CellAddress":"='Main'!$C$15","WidgetName":4,"HiddenRow":6,"SheetCodeName":null,"ControlId":"","wcb":0}</t>
  </si>
  <si>
    <t>INCOME DETAIL</t>
  </si>
  <si>
    <t>Deduction</t>
  </si>
  <si>
    <t>_Ctrl_7</t>
  </si>
  <si>
    <t>{"WidgetClassification":0,"State":1,"IsRequired":false,"IsMultiline":false,"IsHidden":false,"Placeholder":"","InputType":1,"Rows":3,"IsMergeJustify":false,"CellName":"_Ctrl_7","CellAddress":"='Main'!$C$26","WidgetName":4,"HiddenRow":7,"SheetCodeName":null,"ControlId":"","wcb":0}</t>
  </si>
  <si>
    <t>_Ctrl_8</t>
  </si>
  <si>
    <t>{"WidgetClassification":0,"State":1,"IsRequired":false,"IsMultiline":false,"IsHidden":false,"Placeholder":"","InputType":1,"Rows":3,"IsMergeJustify":false,"CellName":"_Ctrl_8","CellAddress":"='Main'!$C$28","WidgetName":4,"HiddenRow":8,"SheetCodeName":null,"ControlId":"","wcb":0}</t>
  </si>
  <si>
    <t>_Ctrl_9</t>
  </si>
  <si>
    <t>{"WidgetClassification":0,"State":1,"IsRequired":false,"IsMultiline":false,"IsHidden":false,"Placeholder":"","InputType":1,"Rows":3,"IsMergeJustify":false,"CellName":"_Ctrl_9","CellAddress":"='Main'!$C$30","WidgetName":4,"HiddenRow":9,"SheetCodeName":null,"ControlId":"","wcb":0}</t>
  </si>
  <si>
    <t>_Ctrl_10</t>
  </si>
  <si>
    <t>{"WidgetClassification":0,"State":1,"IsRequired":false,"IsMultiline":false,"IsHidden":false,"Placeholder":"","InputType":1,"Rows":3,"IsMergeJustify":false,"CellName":"_Ctrl_10","CellAddress":"='Main'!$C$32","WidgetName":4,"HiddenRow":10,"SheetCodeName":null,"ControlId":"","wcb":0}</t>
  </si>
  <si>
    <t>Interest on Education Loan 80E</t>
  </si>
  <si>
    <t>Donation to charity u/s 80G</t>
  </si>
  <si>
    <t>_Ctrl_11</t>
  </si>
  <si>
    <t>{"WidgetClassification":0,"State":1,"IsRequired":false,"IsMultiline":false,"IsHidden":false,"Placeholder":"","InputType":1,"Rows":3,"IsMergeJustify":false,"CellName":"_Ctrl_11","CellAddress":"='Main'!$C$34","WidgetName":4,"HiddenRow":11,"SheetCodeName":null,"ControlId":"","wcb":0}</t>
  </si>
  <si>
    <t xml:space="preserve">Rental Income (Let out) </t>
  </si>
  <si>
    <t>_Ctrl_12</t>
  </si>
  <si>
    <t>{"WidgetClassification":0,"State":1,"IsRequired":false,"IsMultiline":false,"IsHidden":false,"Placeholder":"","InputType":1,"Rows":3,"IsMergeJustify":false,"CellName":"_Ctrl_12","CellAddress":"='Main'!$C$19","WidgetName":4,"HiddenRow":12,"SheetCodeName":null,"ControlId":"","wcb":0}</t>
  </si>
  <si>
    <t xml:space="preserve">Total Income </t>
  </si>
  <si>
    <t>Deduction/Exemption</t>
  </si>
  <si>
    <t>Standard Deduction</t>
  </si>
  <si>
    <t>Taxable Income</t>
  </si>
  <si>
    <t>Tax Payable</t>
  </si>
  <si>
    <t>Real Calculation</t>
  </si>
  <si>
    <t>Total Income Calculation</t>
  </si>
  <si>
    <t>Rental Income Deduction</t>
  </si>
  <si>
    <t>Old Tax Regime</t>
  </si>
  <si>
    <t>Incomes</t>
  </si>
  <si>
    <t>Interest on Deposits in Saving Account u/s 80TTA/80TTB</t>
  </si>
  <si>
    <t>Deductions</t>
  </si>
  <si>
    <t>Deduction 80c</t>
  </si>
  <si>
    <t>Deduction 80G</t>
  </si>
  <si>
    <t>Deduction 80EEA</t>
  </si>
  <si>
    <t>Deduction 80TTA/80TTB</t>
  </si>
  <si>
    <t>Old Tax Regime
(AY 2023-24)</t>
  </si>
  <si>
    <t>New Tax Regime
(AY 2023-24)</t>
  </si>
  <si>
    <t>Below 60 Years Tax Amt</t>
  </si>
  <si>
    <t>60 Years to 80 Years Tax Amt</t>
  </si>
  <si>
    <t xml:space="preserve"> </t>
  </si>
  <si>
    <t>Above 80 Years Tax Amt</t>
  </si>
  <si>
    <t xml:space="preserve">Income Tax Slab A.Y. 2023-24 Old and New Tax Regime </t>
  </si>
  <si>
    <t>Particulars</t>
  </si>
  <si>
    <t>50 Lakh to 1 Crore</t>
  </si>
  <si>
    <t>1 Crore to 2 Crore</t>
  </si>
  <si>
    <t>2 Crores to 5 Crores</t>
  </si>
  <si>
    <t>Above 5 Crores</t>
  </si>
  <si>
    <t>Income</t>
  </si>
  <si>
    <t>Tax on Income of 50 Lakh</t>
  </si>
  <si>
    <t>Extra Income above 50 Lakh</t>
  </si>
  <si>
    <t>Tax on extra income</t>
  </si>
  <si>
    <t>Total Tax</t>
  </si>
  <si>
    <r>
      <t xml:space="preserve">Surcharge with </t>
    </r>
    <r>
      <rPr>
        <b/>
        <i/>
        <sz val="11"/>
        <color rgb="FF7030A0"/>
        <rFont val="Roboto"/>
      </rPr>
      <t>Marginal Relief</t>
    </r>
  </si>
  <si>
    <t>Tax with Surcharge of Marginal Relief</t>
  </si>
  <si>
    <t>Education Cess</t>
  </si>
  <si>
    <t>Hidden Rows</t>
  </si>
  <si>
    <t>Actual Surcharge (without Marginal Relief)</t>
  </si>
  <si>
    <t>Total Tax with actual surcharge</t>
  </si>
  <si>
    <t>Diff Between Normal Income and Extra Income</t>
  </si>
  <si>
    <t>Marginal Relief</t>
  </si>
  <si>
    <t xml:space="preserve">Total Tax </t>
  </si>
  <si>
    <r>
      <t>Medical Insurance 80D</t>
    </r>
    <r>
      <rPr>
        <sz val="8"/>
        <color theme="1"/>
        <rFont val="Roboto"/>
      </rPr>
      <t xml:space="preserve"> (Including Self and Parents)</t>
    </r>
  </si>
  <si>
    <r>
      <t>Deduction 80C</t>
    </r>
    <r>
      <rPr>
        <sz val="8"/>
        <color theme="1"/>
        <rFont val="Roboto"/>
      </rPr>
      <t xml:space="preserve"> (Insurance Premium)</t>
    </r>
  </si>
  <si>
    <t>N/A</t>
  </si>
  <si>
    <t>Income Tax Old Regime</t>
  </si>
  <si>
    <t>Income Tax New Regime</t>
  </si>
  <si>
    <t>Old Tax Regime
(AY 2024-25)</t>
  </si>
  <si>
    <t>New Tax Regime
(AY 2024-25)</t>
  </si>
  <si>
    <t>New Tax Regime Tax Amt ay 2023-24</t>
  </si>
  <si>
    <t>New Tax Regime Tax Amt ay 2024-25</t>
  </si>
  <si>
    <t>New Income Tax Regime</t>
  </si>
  <si>
    <t>Up to Rs.300000</t>
  </si>
  <si>
    <t>Rs. 3.00,000 to Rs. 6,00,000</t>
  </si>
  <si>
    <t>Rs. 6,00,000 to Rs. 900,000</t>
  </si>
  <si>
    <t>Rs. 9,00,000 to Rs. 12,00,000</t>
  </si>
  <si>
    <t>Rs. 12,00,000 to Rs. 1500,000</t>
  </si>
  <si>
    <t>Above Rs. 15,00,000</t>
  </si>
  <si>
    <t>Tax Rate</t>
  </si>
  <si>
    <t>Tax Amount</t>
  </si>
  <si>
    <t>NEW TAX REGIME AY 2023-24</t>
  </si>
  <si>
    <t>OLD TAX REGIME AY 2022-23</t>
  </si>
  <si>
    <t>{"WidgetClassification":0,"State":1,"IsRequired":false,"DDLDefaultRequiredText":"Please Select","ListItem":"FY 2023-24 (AY 2024-25)\r\nFY 2022-23 (AY 2023-24)","VlookupRange":"","ShowListLabel":false,"ShowDt":false,"CellName":"_Ctrl_1","CellAddress":"='Main'!$B$3","WidgetName":3,"HiddenRow":1,"SheetCodeName":null,"ControlId":"year","wcb":0}</t>
  </si>
  <si>
    <t>FY 2023-24 (AY 2024-25)</t>
  </si>
  <si>
    <t>FY 2022-23 (AY 2023-24)</t>
  </si>
  <si>
    <t>_ram_13</t>
  </si>
  <si>
    <t>{"WidgetClassification":4,"State":1,"ShowHideWidgetName":"Show-Hide 1","ClassName":"_cssba43","ShowHideType":1,"RowRange":"","RowRangeName":"_dep_ram_13","ControllingCell":"","ControllingCellName":"_ctrl_ram_13","StartRow":null,"EndRow":null,"SheetName":"","SheetId":0,"SheetIdCollection":[],"CellName":"_ram_13","CellAddress":"='Main'!$K$7","WidgetName":21,"HiddenRow":13,"SheetCodeName":null,"ControlId":"","wcb":0}</t>
  </si>
  <si>
    <t>_ram_14</t>
  </si>
  <si>
    <t>{"WidgetClassification":4,"State":1,"ShowHideWidgetName":"Show-Hide 2","ClassName":"_css3be5","ShowHideType":1,"RowRange":"","RowRangeName":"_dep_ram_14","ControllingCell":"","ControllingCellName":"_ctrl_ram_14","StartRow":null,"EndRow":null,"SheetName":"","SheetId":0,"SheetIdCollection":[],"CellName":"_ram_14","CellAddress":"='Main'!$K$8","WidgetName":21,"HiddenRow":14,"SheetCodeName":null,"ControlId":"","wcb":0}</t>
  </si>
  <si>
    <t>NEW TAX REGIME AY 2024-25</t>
  </si>
  <si>
    <t>Hide and Unhide</t>
  </si>
  <si>
    <t>_Ctrl_15</t>
  </si>
  <si>
    <t>_Ctrl_16</t>
  </si>
  <si>
    <t>Alerttax.in</t>
  </si>
  <si>
    <t>_Ctrl_17</t>
  </si>
  <si>
    <t>_Ctrl_18</t>
  </si>
  <si>
    <t>{"InputDetection":0,"RecalcMode":0,"Name":"","Flavor":0,"Edition":2,"CopyProtect":{"IsEnabled":false,"DomainName":""},"HideSscPoweredlogo":false,"AspnetConfig":{"BrowseUrl":"http://localhost/ssc","FileExtension":0},"NodeSecureLoginEnabled":false,"SmartphoneSettings":{"ViewportLock":true,"UseOldViewEngine":false,"EnableZoom":false,"EnableSwipe":false,"HideToolbar":false,"InheritBackgroundColor":false,"CheckboxFlavor":1,"ShowBubble":false},"SmartphoneTheme":1,"Theme":{"BgColor":"#FFFFFFFF","BgImage":"","InputBorderStyle":2,"AppliedTheme":""},"Layout":0,"LayoutSamePagesHeightEnabled":false,"Toolbar":{"Position":1,"IsSubmit":false,"IsPrintSheet":false,"IsPrintAll":false,"IsPrintThis":false,"IsReset":false,"IsUpdate":false},"ConfigureSubmit":{"IsShowCaptcha":false,"IsUseSscWebServer":true,"ReceiverCode":"pankaj_adv@yahoo.com","IsFreeService":false,"IsAdvanceService":false,"IsSecureEmail":false,"IsDemonstrationService":true,"AfterSuccessfulSubmit":"","AfterFailSubmit":"","AfterCancelWizard":"","IsUseOwnWebServer":false,"OwnWebServerURL":"","OwnWebServerTarget":"","SubmitTarget":0},"IgnoreBgInputCell":false,"ButtonStyle":0,"ResponsiveDesignDisabled":false,"HideLookupRange":false,"BrowserStorageEnabled":false,"RealtimeSyncEnabled":true,"GoogleAnalyticsTrackingId":"","GoogleApiKey":"","ChartSelected":3,"ChartYAxisFixed":false}</t>
  </si>
  <si>
    <t>_Ctrl_19</t>
  </si>
  <si>
    <t>_Ctrl_20</t>
  </si>
  <si>
    <t>_Ctrl_21</t>
  </si>
  <si>
    <t>_Ctrl_22</t>
  </si>
  <si>
    <t>_Ctrl_23</t>
  </si>
  <si>
    <t>_Ctrl_24</t>
  </si>
  <si>
    <t>_Ctrl_25</t>
  </si>
  <si>
    <t>_Ctrl_26</t>
  </si>
  <si>
    <t>_Ctrl_27</t>
  </si>
  <si>
    <t>_Ctrl_28</t>
  </si>
  <si>
    <t>_Ctrl_29</t>
  </si>
  <si>
    <t>{"WidgetClassification":2,"State":1,"Role":2,"ImagePath":"","EPlacement":1,"ShowText":true,"Theme":1,"ButtonSite":1,"IsInline":false,"CellName":"_Ctrl_29","CellAddress":"='Main'!$E$75","WidgetName":11,"HiddenRow":29,"SheetCodeName":null,"ControlId":"","wcb":0}</t>
  </si>
  <si>
    <t>_Ctrl_30</t>
  </si>
  <si>
    <t>{"WidgetClassification":2,"State":1,"PrintType":2,"CellName":"_Ctrl_30","CellAddress":"='Main'!$F$75","WidgetName":32,"HiddenRow":30,"SheetCodeName":null,"ControlId":"","wcb":0}</t>
  </si>
  <si>
    <t>Rental Deduction</t>
  </si>
  <si>
    <t>Chapter VI A Deduction</t>
  </si>
  <si>
    <t>Income Tax</t>
  </si>
  <si>
    <t>Surcharge</t>
  </si>
  <si>
    <t>Health &amp; Education Cess</t>
  </si>
  <si>
    <t xml:space="preserve"> Standard Deduction</t>
  </si>
  <si>
    <r>
      <rPr>
        <b/>
        <sz val="8"/>
        <color theme="1"/>
        <rFont val="Roboto"/>
      </rPr>
      <t>Disclaimer: Income Tax Calculator</t>
    </r>
    <r>
      <rPr>
        <sz val="8"/>
        <color theme="1"/>
        <rFont val="Roboto"/>
      </rPr>
      <t xml:space="preserve">
The income tax calculator provided is intended for general informational purposes only and should not be considered as professional tax advice. The calculator is designed to assist users in estimating their potential tax liability based on the provided inputs and predefined formulas. Please note that tax laws, regulations, and rates are subject to change, and the calculator may not account for all the specific factors that may apply to an individual's tax situation. The results obtained from the calculator should not be relied upon as a substitute for professional tax advice or consultation with a qualified tax professional. 
The accuracy and applicability of the calculated results may vary based on individual circumstances and the specific tax laws applicable to your jurisdiction. It is always advisable to consult with a professional tax advisor or refer to the latest tax guidelines from the relevant tax authorities for accurate and personalized tax calculations. By using the income tax calculator, you acknowledge and agree that the calculator is provided on an "as-is" basis, without any warranties or representations of any kind, express or implied. We disclaim any liability for errors, omissions, or damages arising from the use of the calculator.
Your use of the income tax calculator is at your own risk, and you are solely responsible for any decisions or actions taken based on the calculated results.</t>
    </r>
  </si>
  <si>
    <t>Tax Calculation AY 2023-24</t>
  </si>
  <si>
    <t>Tax Calculation AY 2024-25</t>
  </si>
  <si>
    <t>Income Tax Calculator AY 2023-24 &amp; AY 2024-25</t>
  </si>
  <si>
    <t>Interest on Housing Loan 80EEA</t>
  </si>
  <si>
    <t>Rebate u/s 87A</t>
  </si>
  <si>
    <t>{"IsHide":true,"HiddenInExcel":true,"SheetId":-1,"Name":"Data","Guid":"IK2QBW","Index":2,"VisibleRange":"","SheetTheme":{"TabColor":"","BodyColor":"","BodyImage":""},"IsPrintSheet":false}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</si>
</sst>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 #,##0_ ;_ * \-#,##0_ ;_ * &quot;-&quot;??_ ;_ @_ "/>
    <numFmt numFmtId="166" formatCode="0_ ;\-0\ "/>
    <numFmt numFmtId="167" formatCode="&quot;₹&quot;\ ###0;&quot;₹&quot;\ \-###0"/>
  </numFmts>
  <fonts count="30" x14ac:knownFonts="1">
    <font>
      <sz val="11"/>
      <color theme="1"/>
      <name val="Calibri"/>
      <family val="2"/>
      <scheme val="minor"/>
    </font>
    <font>
      <b/>
      <sz val="11"/>
      <color theme="1"/>
      <name val="Calibri"/>
      <family val="2"/>
      <scheme val="minor"/>
    </font>
    <font>
      <b/>
      <sz val="11"/>
      <color theme="1"/>
      <name val="Roboto"/>
    </font>
    <font>
      <sz val="11"/>
      <color theme="1"/>
      <name val="Roboto"/>
    </font>
    <font>
      <b/>
      <sz val="14"/>
      <color theme="1"/>
      <name val="Roboto"/>
    </font>
    <font>
      <sz val="10"/>
      <color theme="1"/>
      <name val="Roboto"/>
    </font>
    <font>
      <b/>
      <sz val="12"/>
      <color theme="1"/>
      <name val="Roboto"/>
    </font>
    <font>
      <sz val="9"/>
      <color theme="1"/>
      <name val="Roboto"/>
    </font>
    <font>
      <sz val="11"/>
      <color rgb="FF006100"/>
      <name val="Calibri"/>
      <family val="2"/>
      <scheme val="minor"/>
    </font>
    <font>
      <b/>
      <sz val="11"/>
      <color rgb="FF006100"/>
      <name val="Calibri"/>
      <family val="2"/>
      <scheme val="minor"/>
    </font>
    <font>
      <sz val="11"/>
      <color theme="1"/>
      <name val="Calibri"/>
      <family val="2"/>
      <scheme val="minor"/>
    </font>
    <font>
      <b/>
      <sz val="26"/>
      <color theme="7" tint="0.39997558519241921"/>
      <name val="Roboto"/>
    </font>
    <font>
      <b/>
      <sz val="14"/>
      <color theme="7" tint="0.39997558519241921"/>
      <name val="Roboto"/>
    </font>
    <font>
      <b/>
      <sz val="9"/>
      <color theme="7" tint="0.39997558519241921"/>
      <name val="Roboto"/>
    </font>
    <font>
      <i/>
      <sz val="11"/>
      <color theme="1"/>
      <name val="Roboto"/>
    </font>
    <font>
      <b/>
      <i/>
      <sz val="11"/>
      <color rgb="FF7030A0"/>
      <name val="Roboto"/>
    </font>
    <font>
      <b/>
      <i/>
      <sz val="11"/>
      <color theme="1"/>
      <name val="Roboto"/>
    </font>
    <font>
      <b/>
      <sz val="12"/>
      <color theme="7" tint="0.39997558519241921"/>
      <name val="Roboto"/>
    </font>
    <font>
      <sz val="8"/>
      <color theme="1"/>
      <name val="Roboto"/>
    </font>
    <font>
      <b/>
      <sz val="9"/>
      <color theme="1"/>
      <name val="Roboto"/>
    </font>
    <font>
      <sz val="11"/>
      <color rgb="FF314259"/>
      <name val="Roboto"/>
    </font>
    <font>
      <sz val="14"/>
      <color theme="4" tint="-0.249977111117893"/>
      <name val="Roboto"/>
    </font>
    <font>
      <b/>
      <sz val="14"/>
      <name val="Roboto"/>
    </font>
    <font>
      <u/>
      <sz val="11"/>
      <color theme="10"/>
      <name val="Calibri"/>
      <family val="2"/>
      <scheme val="minor"/>
    </font>
    <font>
      <u/>
      <sz val="9"/>
      <color theme="10"/>
      <name val="Calibri"/>
      <family val="2"/>
      <scheme val="minor"/>
    </font>
    <font>
      <b/>
      <sz val="8"/>
      <color theme="1"/>
      <name val="Roboto"/>
    </font>
    <font>
      <b/>
      <sz val="16"/>
      <color rgb="FFFF0000"/>
      <name val="Roboto"/>
    </font>
    <font>
      <b/>
      <sz val="12"/>
      <color rgb="FFFF0000"/>
      <name val="Roboto"/>
    </font>
    <font>
      <sz val="11"/>
      <color rgb="FFFF0000"/>
      <name val="Roboto"/>
    </font>
    <font>
      <b/>
      <sz val="14"/>
      <color rgb="FFFF0000"/>
      <name val="Roboto"/>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C6EFCE"/>
      </patternFill>
    </fill>
    <fill>
      <patternFill patternType="solid">
        <fgColor rgb="FFFFFF00"/>
        <bgColor indexed="64"/>
      </patternFill>
    </fill>
    <fill>
      <patternFill patternType="solid">
        <fgColor rgb="FF7030A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style="thin">
        <color theme="2" tint="-9.9978637043366805E-2"/>
      </top>
      <bottom/>
      <diagonal/>
    </border>
    <border>
      <left/>
      <right/>
      <top/>
      <bottom style="thin">
        <color theme="2" tint="-0.499984740745262"/>
      </bottom>
      <diagonal/>
    </border>
    <border>
      <left/>
      <right/>
      <top style="thin">
        <color theme="2" tint="-0.499984740745262"/>
      </top>
      <bottom style="thin">
        <color theme="2" tint="-0.499984740745262"/>
      </bottom>
      <diagonal/>
    </border>
    <border>
      <left/>
      <right style="thin">
        <color theme="2" tint="-9.9978637043366805E-2"/>
      </right>
      <top/>
      <bottom/>
      <diagonal/>
    </border>
    <border>
      <left style="thin">
        <color theme="2" tint="-9.9978637043366805E-2"/>
      </left>
      <right/>
      <top/>
      <bottom/>
      <diagonal/>
    </border>
    <border>
      <left style="thin">
        <color theme="2" tint="-9.9978637043366805E-2"/>
      </left>
      <right style="thin">
        <color theme="2" tint="-9.9978637043366805E-2"/>
      </right>
      <top/>
      <bottom style="thin">
        <color theme="2" tint="-9.9978637043366805E-2"/>
      </bottom>
      <diagonal/>
    </border>
    <border>
      <left/>
      <right style="thin">
        <color theme="2" tint="-9.9978637043366805E-2"/>
      </right>
      <top/>
      <bottom style="thin">
        <color theme="2" tint="-0.499984740745262"/>
      </bottom>
      <diagonal/>
    </border>
    <border>
      <left style="thin">
        <color theme="2" tint="-9.9978637043366805E-2"/>
      </left>
      <right/>
      <top/>
      <bottom style="thin">
        <color theme="2" tint="-0.499984740745262"/>
      </bottom>
      <diagonal/>
    </border>
    <border>
      <left/>
      <right style="thin">
        <color theme="2" tint="-9.9978637043366805E-2"/>
      </right>
      <top style="thin">
        <color theme="2" tint="-0.499984740745262"/>
      </top>
      <bottom style="thin">
        <color theme="2" tint="-0.499984740745262"/>
      </bottom>
      <diagonal/>
    </border>
    <border>
      <left style="thin">
        <color theme="2" tint="-9.9978637043366805E-2"/>
      </left>
      <right style="thin">
        <color theme="2" tint="-9.9978637043366805E-2"/>
      </right>
      <top style="thin">
        <color theme="2" tint="-0.499984740745262"/>
      </top>
      <bottom style="thin">
        <color theme="2" tint="-0.499984740745262"/>
      </bottom>
      <diagonal/>
    </border>
    <border>
      <left style="thin">
        <color theme="2" tint="-9.9978637043366805E-2"/>
      </left>
      <right/>
      <top style="thin">
        <color theme="2" tint="-0.499984740745262"/>
      </top>
      <bottom style="thin">
        <color theme="2" tint="-0.499984740745262"/>
      </bottom>
      <diagonal/>
    </border>
    <border>
      <left style="thin">
        <color theme="2" tint="-9.9978637043366805E-2"/>
      </left>
      <right style="thin">
        <color theme="2" tint="-9.9978637043366805E-2"/>
      </right>
      <top/>
      <bottom style="thin">
        <color theme="2" tint="-0.499984740745262"/>
      </bottom>
      <diagonal/>
    </border>
  </borders>
  <cellStyleXfs count="4">
    <xf numFmtId="0" fontId="0" fillId="0" borderId="0"/>
    <xf numFmtId="0" fontId="8" fillId="4" borderId="0" applyNumberFormat="0" applyBorder="0" applyAlignment="0" applyProtection="0"/>
    <xf numFmtId="164" fontId="10" fillId="0" borderId="0" applyFont="0" applyFill="0" applyBorder="0" applyAlignment="0" applyProtection="0"/>
    <xf numFmtId="0" fontId="23" fillId="0" borderId="0" applyNumberFormat="0" applyFill="0" applyBorder="0" applyAlignment="0" applyProtection="0"/>
  </cellStyleXfs>
  <cellXfs count="156">
    <xf numFmtId="0" fontId="0" fillId="0" borderId="0" xfId="0"/>
    <xf numFmtId="0" fontId="0" fillId="0" borderId="1" xfId="0" applyBorder="1"/>
    <xf numFmtId="0" fontId="0" fillId="0" borderId="1" xfId="0" applyNumberFormat="1" applyBorder="1"/>
    <xf numFmtId="0" fontId="2" fillId="0" borderId="0" xfId="0" applyFont="1"/>
    <xf numFmtId="0" fontId="3" fillId="0" borderId="0" xfId="0" applyFont="1"/>
    <xf numFmtId="0" fontId="0" fillId="0" borderId="0" xfId="0" applyNumberFormat="1"/>
    <xf numFmtId="0" fontId="0" fillId="0" borderId="0" xfId="0" quotePrefix="1"/>
    <xf numFmtId="0" fontId="0" fillId="0" borderId="0" xfId="0" quotePrefix="1" applyNumberFormat="1"/>
    <xf numFmtId="0" fontId="3" fillId="2" borderId="0" xfId="0" applyFont="1" applyFill="1" applyAlignment="1"/>
    <xf numFmtId="0" fontId="0" fillId="0" borderId="0" xfId="0" applyBorder="1"/>
    <xf numFmtId="0" fontId="8" fillId="4" borderId="1" xfId="1" applyBorder="1"/>
    <xf numFmtId="0" fontId="1" fillId="5" borderId="1" xfId="0" applyFont="1" applyFill="1" applyBorder="1"/>
    <xf numFmtId="0" fontId="9" fillId="5" borderId="1" xfId="1" applyFont="1" applyFill="1" applyBorder="1"/>
    <xf numFmtId="0" fontId="0" fillId="5" borderId="1" xfId="0" applyFill="1" applyBorder="1"/>
    <xf numFmtId="0" fontId="13" fillId="6" borderId="5" xfId="0" applyFont="1" applyFill="1" applyBorder="1" applyAlignment="1">
      <alignment wrapText="1"/>
    </xf>
    <xf numFmtId="0" fontId="13" fillId="6" borderId="4" xfId="0" applyFont="1" applyFill="1" applyBorder="1" applyAlignment="1">
      <alignment horizontal="center"/>
    </xf>
    <xf numFmtId="0" fontId="13" fillId="6" borderId="4" xfId="0" applyFont="1" applyFill="1" applyBorder="1" applyAlignment="1">
      <alignment wrapText="1"/>
    </xf>
    <xf numFmtId="0" fontId="3" fillId="7" borderId="10" xfId="0" applyFont="1" applyFill="1" applyBorder="1"/>
    <xf numFmtId="0" fontId="3" fillId="2" borderId="0" xfId="0" applyFont="1" applyFill="1"/>
    <xf numFmtId="165" fontId="3" fillId="9" borderId="1" xfId="2" applyNumberFormat="1" applyFont="1" applyFill="1" applyBorder="1"/>
    <xf numFmtId="0" fontId="3" fillId="7" borderId="1" xfId="0" applyFont="1" applyFill="1" applyBorder="1"/>
    <xf numFmtId="166" fontId="3" fillId="2" borderId="1" xfId="2" applyNumberFormat="1" applyFont="1" applyFill="1" applyBorder="1"/>
    <xf numFmtId="165" fontId="3" fillId="2" borderId="1" xfId="2" applyNumberFormat="1" applyFont="1" applyFill="1" applyBorder="1"/>
    <xf numFmtId="165" fontId="3" fillId="3" borderId="1" xfId="2" applyNumberFormat="1" applyFont="1" applyFill="1" applyBorder="1"/>
    <xf numFmtId="165" fontId="3" fillId="8" borderId="1" xfId="2" applyNumberFormat="1" applyFont="1" applyFill="1" applyBorder="1"/>
    <xf numFmtId="165" fontId="3" fillId="2" borderId="11" xfId="2" applyNumberFormat="1" applyFont="1" applyFill="1" applyBorder="1"/>
    <xf numFmtId="0" fontId="2" fillId="7" borderId="1" xfId="0" applyFont="1" applyFill="1" applyBorder="1"/>
    <xf numFmtId="166" fontId="2" fillId="2" borderId="1" xfId="2" applyNumberFormat="1" applyFont="1" applyFill="1" applyBorder="1"/>
    <xf numFmtId="165" fontId="2" fillId="2" borderId="11" xfId="2" applyNumberFormat="1" applyFont="1" applyFill="1" applyBorder="1"/>
    <xf numFmtId="165" fontId="2" fillId="3" borderId="1" xfId="2" applyNumberFormat="1" applyFont="1" applyFill="1" applyBorder="1"/>
    <xf numFmtId="165" fontId="2" fillId="8" borderId="1" xfId="2" applyNumberFormat="1" applyFont="1" applyFill="1" applyBorder="1"/>
    <xf numFmtId="165" fontId="2" fillId="9" borderId="1" xfId="2" applyNumberFormat="1" applyFont="1" applyFill="1" applyBorder="1"/>
    <xf numFmtId="0" fontId="14" fillId="7" borderId="1" xfId="0" applyFont="1" applyFill="1" applyBorder="1"/>
    <xf numFmtId="166" fontId="15" fillId="2" borderId="1" xfId="2" applyNumberFormat="1" applyFont="1" applyFill="1" applyBorder="1"/>
    <xf numFmtId="165" fontId="15" fillId="2" borderId="11" xfId="2" applyNumberFormat="1" applyFont="1" applyFill="1" applyBorder="1"/>
    <xf numFmtId="165" fontId="15" fillId="3" borderId="1" xfId="2" applyNumberFormat="1" applyFont="1" applyFill="1" applyBorder="1"/>
    <xf numFmtId="165" fontId="15" fillId="8" borderId="1" xfId="2" applyNumberFormat="1" applyFont="1" applyFill="1" applyBorder="1"/>
    <xf numFmtId="165" fontId="15" fillId="9" borderId="1" xfId="2" applyNumberFormat="1" applyFont="1" applyFill="1" applyBorder="1"/>
    <xf numFmtId="0" fontId="16" fillId="7" borderId="1" xfId="0" applyFont="1" applyFill="1" applyBorder="1"/>
    <xf numFmtId="166" fontId="16" fillId="2" borderId="1" xfId="2" applyNumberFormat="1" applyFont="1" applyFill="1" applyBorder="1"/>
    <xf numFmtId="165" fontId="16" fillId="2" borderId="11" xfId="2" applyNumberFormat="1" applyFont="1" applyFill="1" applyBorder="1"/>
    <xf numFmtId="165" fontId="16" fillId="3" borderId="1" xfId="2" applyNumberFormat="1" applyFont="1" applyFill="1" applyBorder="1"/>
    <xf numFmtId="165" fontId="16" fillId="8" borderId="1" xfId="2" applyNumberFormat="1" applyFont="1" applyFill="1" applyBorder="1"/>
    <xf numFmtId="165" fontId="16" fillId="9" borderId="1" xfId="2" applyNumberFormat="1" applyFont="1" applyFill="1" applyBorder="1"/>
    <xf numFmtId="166" fontId="14" fillId="2" borderId="1" xfId="2" applyNumberFormat="1" applyFont="1" applyFill="1" applyBorder="1"/>
    <xf numFmtId="165" fontId="14" fillId="2" borderId="11" xfId="2" applyNumberFormat="1" applyFont="1" applyFill="1" applyBorder="1"/>
    <xf numFmtId="165" fontId="14" fillId="3" borderId="1" xfId="2" applyNumberFormat="1" applyFont="1" applyFill="1" applyBorder="1"/>
    <xf numFmtId="165" fontId="14" fillId="8" borderId="1" xfId="2" applyNumberFormat="1" applyFont="1" applyFill="1" applyBorder="1"/>
    <xf numFmtId="165" fontId="14" fillId="9" borderId="1" xfId="2" applyNumberFormat="1" applyFont="1" applyFill="1" applyBorder="1"/>
    <xf numFmtId="0" fontId="17" fillId="6" borderId="1" xfId="0" applyFont="1" applyFill="1" applyBorder="1" applyAlignment="1">
      <alignment horizontal="right"/>
    </xf>
    <xf numFmtId="166" fontId="17" fillId="6" borderId="1" xfId="2" applyNumberFormat="1" applyFont="1" applyFill="1" applyBorder="1"/>
    <xf numFmtId="166" fontId="17" fillId="6" borderId="11" xfId="2" applyNumberFormat="1" applyFont="1" applyFill="1" applyBorder="1"/>
    <xf numFmtId="165" fontId="17" fillId="6" borderId="11" xfId="2" applyNumberFormat="1" applyFont="1" applyFill="1" applyBorder="1"/>
    <xf numFmtId="165" fontId="17" fillId="6" borderId="10" xfId="2" applyNumberFormat="1" applyFont="1" applyFill="1" applyBorder="1"/>
    <xf numFmtId="165" fontId="17" fillId="6" borderId="1" xfId="2" applyNumberFormat="1" applyFont="1" applyFill="1" applyBorder="1"/>
    <xf numFmtId="0" fontId="14" fillId="0" borderId="1" xfId="0" applyFont="1" applyBorder="1"/>
    <xf numFmtId="2" fontId="14" fillId="0" borderId="1" xfId="0" applyNumberFormat="1" applyFont="1" applyBorder="1"/>
    <xf numFmtId="165" fontId="14" fillId="0" borderId="1" xfId="2" applyNumberFormat="1" applyFont="1" applyBorder="1"/>
    <xf numFmtId="2" fontId="3" fillId="0" borderId="0" xfId="0" applyNumberFormat="1" applyFont="1"/>
    <xf numFmtId="165" fontId="3" fillId="0" borderId="0" xfId="0" applyNumberFormat="1" applyFont="1"/>
    <xf numFmtId="1" fontId="3" fillId="0" borderId="0" xfId="0" applyNumberFormat="1" applyFont="1"/>
    <xf numFmtId="0" fontId="2" fillId="5" borderId="0" xfId="0" applyFont="1" applyFill="1"/>
    <xf numFmtId="0" fontId="3" fillId="5" borderId="0" xfId="0" applyFont="1" applyFill="1"/>
    <xf numFmtId="0" fontId="2" fillId="0" borderId="1" xfId="0" applyFont="1" applyBorder="1"/>
    <xf numFmtId="0" fontId="3" fillId="0" borderId="1" xfId="0" applyFont="1" applyBorder="1"/>
    <xf numFmtId="1" fontId="3" fillId="0" borderId="1" xfId="0" applyNumberFormat="1" applyFont="1" applyBorder="1"/>
    <xf numFmtId="0" fontId="3" fillId="0" borderId="0" xfId="0" applyFont="1" applyFill="1"/>
    <xf numFmtId="0" fontId="8" fillId="0" borderId="1" xfId="1" applyFill="1" applyBorder="1"/>
    <xf numFmtId="0" fontId="3" fillId="0" borderId="1" xfId="0" applyFont="1" applyFill="1" applyBorder="1"/>
    <xf numFmtId="0" fontId="0" fillId="0" borderId="1" xfId="0" applyFill="1" applyBorder="1"/>
    <xf numFmtId="0" fontId="3" fillId="0" borderId="1" xfId="0" applyFont="1" applyFill="1" applyBorder="1" applyAlignment="1">
      <alignment horizontal="right"/>
    </xf>
    <xf numFmtId="0" fontId="20" fillId="0" borderId="1" xfId="0" applyFont="1" applyFill="1" applyBorder="1"/>
    <xf numFmtId="0" fontId="2" fillId="3" borderId="1" xfId="0" applyFont="1" applyFill="1" applyBorder="1"/>
    <xf numFmtId="0" fontId="3" fillId="0" borderId="0" xfId="0" applyFont="1" applyAlignment="1" applyProtection="1"/>
    <xf numFmtId="0" fontId="3" fillId="3" borderId="0" xfId="0" applyFont="1" applyFill="1" applyAlignment="1"/>
    <xf numFmtId="0" fontId="4" fillId="3" borderId="0" xfId="0" applyFont="1" applyFill="1" applyAlignment="1"/>
    <xf numFmtId="0" fontId="3" fillId="7" borderId="0" xfId="0" applyFont="1" applyFill="1" applyAlignment="1"/>
    <xf numFmtId="0" fontId="4" fillId="7" borderId="0" xfId="0" applyFont="1" applyFill="1" applyAlignment="1"/>
    <xf numFmtId="0" fontId="4" fillId="2" borderId="0" xfId="0" applyFont="1" applyFill="1" applyAlignment="1"/>
    <xf numFmtId="0" fontId="3" fillId="3" borderId="0" xfId="0" applyFont="1" applyFill="1"/>
    <xf numFmtId="0" fontId="7" fillId="3" borderId="0" xfId="0" applyFont="1" applyFill="1"/>
    <xf numFmtId="0" fontId="19" fillId="3" borderId="0" xfId="0" applyFont="1" applyFill="1" applyAlignment="1">
      <alignment wrapText="1"/>
    </xf>
    <xf numFmtId="167" fontId="2" fillId="3" borderId="12" xfId="0" applyNumberFormat="1" applyFont="1" applyFill="1" applyBorder="1" applyAlignment="1">
      <alignment vertical="center"/>
    </xf>
    <xf numFmtId="167" fontId="3" fillId="3" borderId="24" xfId="0" applyNumberFormat="1" applyFont="1" applyFill="1" applyBorder="1" applyAlignment="1">
      <alignment vertical="center"/>
    </xf>
    <xf numFmtId="167" fontId="3" fillId="3" borderId="22" xfId="0" applyNumberFormat="1" applyFont="1" applyFill="1" applyBorder="1" applyAlignment="1">
      <alignment vertical="center"/>
    </xf>
    <xf numFmtId="167" fontId="2" fillId="3" borderId="18" xfId="0" applyNumberFormat="1" applyFont="1" applyFill="1" applyBorder="1"/>
    <xf numFmtId="0" fontId="3" fillId="3" borderId="0" xfId="0" applyFont="1" applyFill="1" applyBorder="1"/>
    <xf numFmtId="0" fontId="7" fillId="3" borderId="0" xfId="0" applyFont="1" applyFill="1" applyBorder="1"/>
    <xf numFmtId="0" fontId="19" fillId="3" borderId="0" xfId="0" applyFont="1" applyFill="1" applyBorder="1" applyAlignment="1">
      <alignment horizontal="right" wrapText="1"/>
    </xf>
    <xf numFmtId="167" fontId="2" fillId="3" borderId="0" xfId="0" applyNumberFormat="1" applyFont="1" applyFill="1" applyBorder="1" applyAlignment="1">
      <alignment horizontal="right" vertical="center"/>
    </xf>
    <xf numFmtId="167" fontId="3" fillId="3" borderId="14" xfId="0" applyNumberFormat="1" applyFont="1" applyFill="1" applyBorder="1" applyAlignment="1">
      <alignment vertical="center"/>
    </xf>
    <xf numFmtId="167" fontId="3" fillId="3" borderId="15" xfId="0" applyNumberFormat="1" applyFont="1" applyFill="1" applyBorder="1" applyAlignment="1">
      <alignment vertical="center"/>
    </xf>
    <xf numFmtId="167" fontId="3" fillId="3" borderId="0" xfId="0" applyNumberFormat="1" applyFont="1" applyFill="1" applyBorder="1" applyAlignment="1">
      <alignment vertical="center"/>
    </xf>
    <xf numFmtId="167" fontId="2" fillId="3" borderId="0" xfId="0" applyNumberFormat="1" applyFont="1" applyFill="1" applyBorder="1" applyAlignment="1">
      <alignment vertical="center"/>
    </xf>
    <xf numFmtId="0" fontId="28" fillId="7" borderId="0" xfId="0" applyFont="1" applyFill="1" applyAlignment="1"/>
    <xf numFmtId="0" fontId="29" fillId="7" borderId="0" xfId="0" applyFont="1" applyFill="1" applyAlignment="1"/>
    <xf numFmtId="0" fontId="18" fillId="0" borderId="0" xfId="0" applyFont="1" applyAlignment="1">
      <alignment horizontal="center" wrapText="1"/>
    </xf>
    <xf numFmtId="0" fontId="18" fillId="0" borderId="0" xfId="0" applyFont="1" applyAlignment="1">
      <alignment horizontal="center"/>
    </xf>
    <xf numFmtId="167" fontId="2" fillId="3" borderId="17" xfId="0" applyNumberFormat="1" applyFont="1" applyFill="1" applyBorder="1" applyAlignment="1">
      <alignment horizontal="right"/>
    </xf>
    <xf numFmtId="167" fontId="2" fillId="3" borderId="0" xfId="0" applyNumberFormat="1" applyFont="1" applyFill="1" applyBorder="1" applyAlignment="1">
      <alignment horizontal="right"/>
    </xf>
    <xf numFmtId="0" fontId="6" fillId="3" borderId="0" xfId="0" applyFont="1" applyFill="1" applyBorder="1" applyAlignment="1">
      <alignment horizontal="right" vertical="center"/>
    </xf>
    <xf numFmtId="0" fontId="6" fillId="3" borderId="16" xfId="0" applyFont="1" applyFill="1" applyBorder="1" applyAlignment="1">
      <alignment horizontal="right" vertical="center"/>
    </xf>
    <xf numFmtId="0" fontId="7" fillId="3" borderId="15" xfId="0" applyFont="1" applyFill="1" applyBorder="1" applyAlignment="1">
      <alignment horizontal="right" vertical="center"/>
    </xf>
    <xf numFmtId="0" fontId="7" fillId="3" borderId="21" xfId="0" applyFont="1" applyFill="1" applyBorder="1" applyAlignment="1">
      <alignment horizontal="right" vertical="center"/>
    </xf>
    <xf numFmtId="0" fontId="22" fillId="3" borderId="14" xfId="0" applyFont="1" applyFill="1" applyBorder="1" applyAlignment="1">
      <alignment horizontal="center"/>
    </xf>
    <xf numFmtId="1" fontId="3" fillId="3" borderId="23" xfId="0" applyNumberFormat="1" applyFont="1" applyFill="1" applyBorder="1" applyAlignment="1">
      <alignment horizontal="right" vertical="center"/>
    </xf>
    <xf numFmtId="1" fontId="3" fillId="3" borderId="15" xfId="0" applyNumberFormat="1" applyFont="1" applyFill="1" applyBorder="1" applyAlignment="1">
      <alignment horizontal="right" vertical="center"/>
    </xf>
    <xf numFmtId="167" fontId="3" fillId="3" borderId="23" xfId="0" applyNumberFormat="1" applyFont="1" applyFill="1" applyBorder="1" applyAlignment="1">
      <alignment horizontal="right" vertical="center"/>
    </xf>
    <xf numFmtId="167" fontId="3" fillId="3" borderId="15" xfId="0" applyNumberFormat="1" applyFont="1" applyFill="1" applyBorder="1" applyAlignment="1">
      <alignment horizontal="right" vertical="center"/>
    </xf>
    <xf numFmtId="167" fontId="3" fillId="3" borderId="0" xfId="0" applyNumberFormat="1" applyFont="1" applyFill="1" applyBorder="1" applyAlignment="1">
      <alignment horizontal="right" vertical="center"/>
    </xf>
    <xf numFmtId="167" fontId="2" fillId="3" borderId="0" xfId="0" applyNumberFormat="1" applyFont="1" applyFill="1" applyBorder="1" applyAlignment="1">
      <alignment horizontal="right" vertical="center"/>
    </xf>
    <xf numFmtId="0" fontId="7" fillId="3" borderId="0" xfId="0" applyFont="1" applyFill="1" applyBorder="1" applyAlignment="1">
      <alignment horizontal="right" vertical="center"/>
    </xf>
    <xf numFmtId="0" fontId="22" fillId="3" borderId="14" xfId="0" applyFont="1" applyFill="1" applyBorder="1" applyAlignment="1">
      <alignment horizontal="center" vertical="center"/>
    </xf>
    <xf numFmtId="167" fontId="2" fillId="3" borderId="17" xfId="0" applyNumberFormat="1" applyFont="1" applyFill="1" applyBorder="1" applyAlignment="1">
      <alignment horizontal="right" vertical="center"/>
    </xf>
    <xf numFmtId="0" fontId="7" fillId="3" borderId="14" xfId="0" applyFont="1" applyFill="1" applyBorder="1" applyAlignment="1">
      <alignment horizontal="right" vertical="center"/>
    </xf>
    <xf numFmtId="0" fontId="7" fillId="3" borderId="19" xfId="0" applyFont="1" applyFill="1" applyBorder="1" applyAlignment="1">
      <alignment horizontal="right" vertical="center"/>
    </xf>
    <xf numFmtId="1" fontId="3" fillId="3" borderId="20" xfId="0" applyNumberFormat="1" applyFont="1" applyFill="1" applyBorder="1" applyAlignment="1">
      <alignment horizontal="right" vertical="center"/>
    </xf>
    <xf numFmtId="1" fontId="3" fillId="3" borderId="14" xfId="0" applyNumberFormat="1" applyFont="1" applyFill="1" applyBorder="1" applyAlignment="1">
      <alignment horizontal="right" vertical="center"/>
    </xf>
    <xf numFmtId="0" fontId="5" fillId="2" borderId="0" xfId="0" applyFont="1" applyFill="1" applyAlignment="1" applyProtection="1">
      <alignment horizontal="left"/>
      <protection locked="0"/>
    </xf>
    <xf numFmtId="0" fontId="5" fillId="7" borderId="0" xfId="0" applyFont="1" applyFill="1" applyAlignment="1">
      <alignment horizontal="left"/>
    </xf>
    <xf numFmtId="1" fontId="21" fillId="0" borderId="0" xfId="0" applyNumberFormat="1" applyFont="1" applyFill="1" applyAlignment="1" applyProtection="1">
      <alignment horizontal="left"/>
      <protection locked="0"/>
    </xf>
    <xf numFmtId="0" fontId="5"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3" fillId="0" borderId="0" xfId="0" applyFont="1" applyAlignment="1">
      <alignment horizontal="center"/>
    </xf>
    <xf numFmtId="0" fontId="28" fillId="7" borderId="0" xfId="0" applyFont="1" applyFill="1" applyAlignment="1">
      <alignment horizontal="center"/>
    </xf>
    <xf numFmtId="0" fontId="27" fillId="7" borderId="0" xfId="0" applyFont="1" applyFill="1" applyAlignment="1">
      <alignment horizontal="center"/>
    </xf>
    <xf numFmtId="0" fontId="3" fillId="3" borderId="0" xfId="0" applyFont="1" applyFill="1" applyAlignment="1">
      <alignment horizontal="center"/>
    </xf>
    <xf numFmtId="0" fontId="3" fillId="0" borderId="0" xfId="0" applyFont="1" applyFill="1" applyAlignment="1">
      <alignment horizontal="center"/>
    </xf>
    <xf numFmtId="0" fontId="27" fillId="3" borderId="0" xfId="0" applyFont="1" applyFill="1" applyAlignment="1">
      <alignment horizontal="center"/>
    </xf>
    <xf numFmtId="0" fontId="5" fillId="3" borderId="0" xfId="0" applyFont="1" applyFill="1" applyAlignment="1">
      <alignment horizontal="left"/>
    </xf>
    <xf numFmtId="0" fontId="6" fillId="0" borderId="0" xfId="0" applyFont="1" applyFill="1" applyAlignment="1" applyProtection="1">
      <alignment horizontal="left"/>
      <protection locked="0"/>
    </xf>
    <xf numFmtId="0" fontId="27" fillId="2" borderId="0" xfId="0" applyFont="1" applyFill="1" applyAlignment="1">
      <alignment horizontal="center"/>
    </xf>
    <xf numFmtId="167" fontId="21" fillId="0" borderId="0" xfId="0" applyNumberFormat="1" applyFont="1" applyFill="1" applyAlignment="1" applyProtection="1">
      <alignment horizontal="left"/>
      <protection locked="0"/>
    </xf>
    <xf numFmtId="0" fontId="3" fillId="2" borderId="0" xfId="0" applyFont="1" applyFill="1" applyAlignment="1">
      <alignment horizontal="left"/>
    </xf>
    <xf numFmtId="0" fontId="5" fillId="7" borderId="0" xfId="0" applyFont="1" applyFill="1" applyAlignment="1" applyProtection="1">
      <alignment horizontal="left"/>
      <protection locked="0"/>
    </xf>
    <xf numFmtId="1" fontId="3" fillId="2" borderId="0" xfId="0" applyNumberFormat="1" applyFont="1" applyFill="1" applyAlignment="1" applyProtection="1">
      <alignment horizontal="left"/>
      <protection locked="0"/>
    </xf>
    <xf numFmtId="0" fontId="26" fillId="3" borderId="0" xfId="0" applyFont="1" applyFill="1" applyAlignment="1">
      <alignment horizontal="center" vertical="center"/>
    </xf>
    <xf numFmtId="0" fontId="3" fillId="7" borderId="0" xfId="0" applyFont="1" applyFill="1" applyAlignment="1">
      <alignment horizontal="center"/>
    </xf>
    <xf numFmtId="0" fontId="3" fillId="7" borderId="0" xfId="0" applyFont="1" applyFill="1" applyAlignment="1" applyProtection="1">
      <alignment horizontal="center"/>
      <protection locked="0"/>
    </xf>
    <xf numFmtId="0" fontId="26" fillId="3" borderId="0" xfId="0" applyFont="1" applyFill="1" applyBorder="1" applyAlignment="1">
      <alignment horizontal="center" vertical="center"/>
    </xf>
    <xf numFmtId="0" fontId="24" fillId="3" borderId="0" xfId="3" applyFont="1" applyFill="1" applyBorder="1" applyAlignment="1">
      <alignment horizontal="center"/>
    </xf>
    <xf numFmtId="1" fontId="3" fillId="3" borderId="0" xfId="0" applyNumberFormat="1" applyFont="1" applyFill="1" applyBorder="1" applyAlignment="1">
      <alignment horizontal="right" vertical="center"/>
    </xf>
    <xf numFmtId="167" fontId="3" fillId="3" borderId="14" xfId="0" applyNumberFormat="1" applyFont="1" applyFill="1" applyBorder="1" applyAlignment="1">
      <alignment horizontal="right" vertical="center"/>
    </xf>
    <xf numFmtId="0" fontId="24" fillId="3" borderId="13" xfId="3" applyFont="1" applyFill="1" applyBorder="1" applyAlignment="1">
      <alignment horizontal="center"/>
    </xf>
    <xf numFmtId="0" fontId="11" fillId="6" borderId="4" xfId="0" applyFont="1" applyFill="1" applyBorder="1" applyAlignment="1">
      <alignment horizontal="center" vertical="center"/>
    </xf>
    <xf numFmtId="0" fontId="11" fillId="6" borderId="9" xfId="0" applyFont="1" applyFill="1" applyBorder="1" applyAlignment="1">
      <alignment horizontal="center" vertical="center"/>
    </xf>
    <xf numFmtId="0" fontId="12" fillId="6" borderId="5" xfId="0" applyFont="1" applyFill="1" applyBorder="1" applyAlignment="1">
      <alignment horizontal="center" wrapText="1"/>
    </xf>
    <xf numFmtId="0" fontId="12" fillId="6" borderId="6" xfId="0" applyFont="1" applyFill="1" applyBorder="1" applyAlignment="1">
      <alignment horizontal="center" wrapText="1"/>
    </xf>
    <xf numFmtId="0" fontId="12" fillId="6" borderId="7" xfId="0" applyFont="1" applyFill="1" applyBorder="1" applyAlignment="1">
      <alignment horizontal="center" wrapText="1"/>
    </xf>
    <xf numFmtId="0" fontId="12" fillId="6" borderId="8" xfId="0" applyFont="1" applyFill="1" applyBorder="1" applyAlignment="1">
      <alignment horizontal="center" wrapText="1"/>
    </xf>
    <xf numFmtId="0" fontId="12" fillId="6" borderId="6" xfId="0" applyFont="1" applyFill="1" applyBorder="1" applyAlignment="1">
      <alignment horizontal="center"/>
    </xf>
    <xf numFmtId="0" fontId="12" fillId="6" borderId="7" xfId="0" applyFont="1" applyFill="1" applyBorder="1" applyAlignment="1">
      <alignment horizontal="center"/>
    </xf>
    <xf numFmtId="0" fontId="12" fillId="6" borderId="8"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4">
    <cellStyle name="Comma" xfId="2" builtinId="3"/>
    <cellStyle name="Good" xfId="1" builtinId="26"/>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lerttax.in/" TargetMode="External"/><Relationship Id="rId1" Type="http://schemas.openxmlformats.org/officeDocument/2006/relationships/hyperlink" Target="https://alerttax.in/" TargetMode="Externa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3"/>
  <sheetViews>
    <sheetView tabSelected="1" topLeftCell="A60" zoomScale="85" zoomScaleNormal="85" workbookViewId="0">
      <selection activeCell="K12" sqref="K12"/>
    </sheetView>
  </sheetViews>
  <sheetFormatPr defaultColWidth="8.90625" defaultRowHeight="20" customHeight="1" x14ac:dyDescent="0.35"/>
  <cols>
    <col min="1" max="1" width="2.08984375" style="4" customWidth="1"/>
    <col min="2" max="2" width="2.1796875" style="4" customWidth="1"/>
    <col min="3" max="4" width="8.90625" style="4"/>
    <col min="5" max="5" width="1.453125" style="4" customWidth="1"/>
    <col min="6" max="6" width="18.36328125" style="4" customWidth="1"/>
    <col min="7" max="7" width="17.1796875" style="4" customWidth="1"/>
    <col min="8" max="9" width="2.1796875" style="4" customWidth="1"/>
    <col min="10" max="10" width="17.6328125" style="4" hidden="1" customWidth="1"/>
    <col min="11" max="11" width="25.08984375" style="4" bestFit="1" customWidth="1"/>
    <col min="12" max="12" width="15" style="4" bestFit="1" customWidth="1"/>
    <col min="13" max="13" width="21.453125" style="4" bestFit="1" customWidth="1"/>
    <col min="14" max="14" width="14.90625" style="4" bestFit="1" customWidth="1"/>
    <col min="15" max="15" width="12" style="4" bestFit="1" customWidth="1"/>
    <col min="16" max="16" width="12.81640625" style="4" bestFit="1" customWidth="1"/>
    <col min="17" max="17" width="19.1796875" style="4" customWidth="1"/>
    <col min="18" max="18" width="13.36328125" style="4" bestFit="1" customWidth="1"/>
    <col min="19" max="19" width="13.6328125" style="4" bestFit="1" customWidth="1"/>
    <col min="20" max="16384" width="8.90625" style="4"/>
  </cols>
  <sheetData>
    <row r="1" spans="1:9" ht="12" customHeight="1" x14ac:dyDescent="0.35">
      <c r="A1" s="127"/>
      <c r="B1" s="127"/>
      <c r="C1" s="127"/>
      <c r="D1" s="127"/>
      <c r="E1" s="127"/>
      <c r="F1" s="127"/>
      <c r="G1" s="127"/>
      <c r="H1" s="127"/>
      <c r="I1" s="127"/>
    </row>
    <row r="2" spans="1:9" ht="30" customHeight="1" x14ac:dyDescent="0.4">
      <c r="A2" s="127"/>
      <c r="B2" s="74"/>
      <c r="C2" s="129" t="s">
        <v>153</v>
      </c>
      <c r="D2" s="129"/>
      <c r="E2" s="129"/>
      <c r="F2" s="129"/>
      <c r="G2" s="129"/>
      <c r="H2" s="75"/>
      <c r="I2" s="127"/>
    </row>
    <row r="3" spans="1:9" ht="20" customHeight="1" x14ac:dyDescent="0.4">
      <c r="A3" s="127"/>
      <c r="B3" s="74"/>
      <c r="C3" s="130" t="s">
        <v>14</v>
      </c>
      <c r="D3" s="130"/>
      <c r="E3" s="130"/>
      <c r="F3" s="130"/>
      <c r="G3" s="130"/>
      <c r="H3" s="75"/>
      <c r="I3" s="127"/>
    </row>
    <row r="4" spans="1:9" ht="20" customHeight="1" x14ac:dyDescent="0.4">
      <c r="A4" s="127"/>
      <c r="B4" s="74"/>
      <c r="C4" s="131" t="s">
        <v>117</v>
      </c>
      <c r="D4" s="131"/>
      <c r="E4" s="131"/>
      <c r="F4" s="131"/>
      <c r="G4" s="131"/>
      <c r="H4" s="75"/>
      <c r="I4" s="127"/>
    </row>
    <row r="5" spans="1:9" ht="20" customHeight="1" x14ac:dyDescent="0.4">
      <c r="A5" s="127"/>
      <c r="B5" s="74"/>
      <c r="C5" s="130" t="s">
        <v>19</v>
      </c>
      <c r="D5" s="130"/>
      <c r="E5" s="130"/>
      <c r="F5" s="130"/>
      <c r="G5" s="130"/>
      <c r="H5" s="75"/>
      <c r="I5" s="127"/>
    </row>
    <row r="6" spans="1:9" ht="20" customHeight="1" x14ac:dyDescent="0.4">
      <c r="A6" s="127"/>
      <c r="B6" s="74"/>
      <c r="C6" s="131" t="s">
        <v>21</v>
      </c>
      <c r="D6" s="131"/>
      <c r="E6" s="131"/>
      <c r="F6" s="131"/>
      <c r="G6" s="131"/>
      <c r="H6" s="75"/>
      <c r="I6" s="127"/>
    </row>
    <row r="7" spans="1:9" ht="20" customHeight="1" x14ac:dyDescent="0.35">
      <c r="A7" s="127"/>
      <c r="B7" s="74"/>
      <c r="C7" s="127"/>
      <c r="D7" s="127"/>
      <c r="E7" s="127"/>
      <c r="F7" s="127"/>
      <c r="G7" s="127"/>
      <c r="H7" s="74"/>
      <c r="I7" s="127"/>
    </row>
    <row r="8" spans="1:9" ht="12" customHeight="1" x14ac:dyDescent="0.35">
      <c r="A8" s="127"/>
      <c r="B8" s="127"/>
      <c r="C8" s="127"/>
      <c r="D8" s="127"/>
      <c r="E8" s="127"/>
      <c r="F8" s="127"/>
      <c r="G8" s="127"/>
      <c r="H8" s="127"/>
      <c r="I8" s="127"/>
    </row>
    <row r="9" spans="1:9" ht="12" customHeight="1" x14ac:dyDescent="0.35">
      <c r="A9" s="128"/>
      <c r="B9" s="128"/>
      <c r="C9" s="128"/>
      <c r="D9" s="128"/>
      <c r="E9" s="128"/>
      <c r="F9" s="128"/>
      <c r="G9" s="128"/>
      <c r="H9" s="128"/>
      <c r="I9" s="128"/>
    </row>
    <row r="10" spans="1:9" ht="12" customHeight="1" x14ac:dyDescent="0.35">
      <c r="A10" s="122"/>
      <c r="B10" s="122"/>
      <c r="C10" s="122"/>
      <c r="D10" s="122"/>
      <c r="E10" s="122"/>
      <c r="F10" s="122"/>
      <c r="G10" s="122"/>
      <c r="H10" s="122"/>
      <c r="I10" s="122"/>
    </row>
    <row r="11" spans="1:9" ht="30" customHeight="1" x14ac:dyDescent="0.4">
      <c r="A11" s="8"/>
      <c r="B11" s="8"/>
      <c r="C11" s="132" t="s">
        <v>36</v>
      </c>
      <c r="D11" s="132"/>
      <c r="E11" s="132"/>
      <c r="F11" s="132"/>
      <c r="G11" s="132"/>
      <c r="H11" s="78"/>
      <c r="I11" s="8"/>
    </row>
    <row r="12" spans="1:9" ht="20" customHeight="1" x14ac:dyDescent="0.4">
      <c r="A12" s="8"/>
      <c r="B12" s="8"/>
      <c r="C12" s="121" t="s">
        <v>24</v>
      </c>
      <c r="D12" s="121"/>
      <c r="E12" s="121"/>
      <c r="F12" s="121"/>
      <c r="G12" s="121"/>
      <c r="H12" s="78"/>
      <c r="I12" s="8"/>
    </row>
    <row r="13" spans="1:9" ht="20" customHeight="1" x14ac:dyDescent="0.4">
      <c r="A13" s="8"/>
      <c r="B13" s="8"/>
      <c r="C13" s="133"/>
      <c r="D13" s="133"/>
      <c r="E13" s="133"/>
      <c r="F13" s="133"/>
      <c r="G13" s="133"/>
      <c r="H13" s="78"/>
      <c r="I13" s="8"/>
    </row>
    <row r="14" spans="1:9" ht="20" customHeight="1" x14ac:dyDescent="0.4">
      <c r="A14" s="8"/>
      <c r="B14" s="8"/>
      <c r="C14" s="121" t="s">
        <v>25</v>
      </c>
      <c r="D14" s="121"/>
      <c r="E14" s="121"/>
      <c r="F14" s="121"/>
      <c r="G14" s="121"/>
      <c r="H14" s="78"/>
      <c r="I14" s="8"/>
    </row>
    <row r="15" spans="1:9" ht="19.75" customHeight="1" x14ac:dyDescent="0.4">
      <c r="A15" s="8"/>
      <c r="B15" s="8"/>
      <c r="C15" s="120"/>
      <c r="D15" s="120"/>
      <c r="E15" s="120"/>
      <c r="F15" s="120"/>
      <c r="G15" s="120"/>
      <c r="H15" s="78"/>
      <c r="I15" s="8"/>
    </row>
    <row r="16" spans="1:9" ht="19.75" hidden="1" customHeight="1" x14ac:dyDescent="0.4">
      <c r="A16" s="8"/>
      <c r="B16" s="8"/>
      <c r="C16" s="134" t="s">
        <v>26</v>
      </c>
      <c r="D16" s="134"/>
      <c r="E16" s="134"/>
      <c r="F16" s="134"/>
      <c r="G16" s="134"/>
      <c r="H16" s="78"/>
      <c r="I16" s="8"/>
    </row>
    <row r="17" spans="1:9" ht="19.75" hidden="1" customHeight="1" x14ac:dyDescent="0.4">
      <c r="A17" s="8"/>
      <c r="B17" s="8"/>
      <c r="C17" s="136"/>
      <c r="D17" s="136"/>
      <c r="E17" s="136"/>
      <c r="F17" s="136"/>
      <c r="G17" s="136"/>
      <c r="H17" s="78"/>
      <c r="I17" s="8"/>
    </row>
    <row r="18" spans="1:9" ht="20" customHeight="1" x14ac:dyDescent="0.4">
      <c r="A18" s="8"/>
      <c r="B18" s="8"/>
      <c r="C18" s="118" t="s">
        <v>50</v>
      </c>
      <c r="D18" s="118"/>
      <c r="E18" s="118"/>
      <c r="F18" s="118"/>
      <c r="G18" s="118"/>
      <c r="H18" s="78"/>
      <c r="I18" s="8"/>
    </row>
    <row r="19" spans="1:9" ht="20" customHeight="1" x14ac:dyDescent="0.4">
      <c r="A19" s="8"/>
      <c r="B19" s="8"/>
      <c r="C19" s="120"/>
      <c r="D19" s="120"/>
      <c r="E19" s="120"/>
      <c r="F19" s="120"/>
      <c r="G19" s="120"/>
      <c r="H19" s="78"/>
      <c r="I19" s="8"/>
    </row>
    <row r="20" spans="1:9" ht="20" customHeight="1" x14ac:dyDescent="0.4">
      <c r="A20" s="8"/>
      <c r="B20" s="8"/>
      <c r="C20" s="121" t="s">
        <v>27</v>
      </c>
      <c r="D20" s="121"/>
      <c r="E20" s="121"/>
      <c r="F20" s="121"/>
      <c r="G20" s="121"/>
      <c r="H20" s="78"/>
      <c r="I20" s="8"/>
    </row>
    <row r="21" spans="1:9" ht="20" customHeight="1" x14ac:dyDescent="0.4">
      <c r="A21" s="8"/>
      <c r="B21" s="8"/>
      <c r="C21" s="120"/>
      <c r="D21" s="120"/>
      <c r="E21" s="120"/>
      <c r="F21" s="120"/>
      <c r="G21" s="120"/>
      <c r="H21" s="78"/>
      <c r="I21" s="8"/>
    </row>
    <row r="22" spans="1:9" ht="12" customHeight="1" x14ac:dyDescent="0.4">
      <c r="A22" s="8"/>
      <c r="B22" s="8"/>
      <c r="C22" s="123"/>
      <c r="D22" s="123"/>
      <c r="E22" s="123"/>
      <c r="F22" s="123"/>
      <c r="G22" s="123"/>
      <c r="H22" s="78"/>
      <c r="I22" s="8"/>
    </row>
    <row r="23" spans="1:9" ht="12" customHeight="1" x14ac:dyDescent="0.35">
      <c r="A23" s="8"/>
      <c r="B23" s="122"/>
      <c r="C23" s="122"/>
      <c r="D23" s="122"/>
      <c r="E23" s="122"/>
      <c r="F23" s="122"/>
      <c r="G23" s="122"/>
      <c r="H23" s="122"/>
      <c r="I23" s="122"/>
    </row>
    <row r="24" spans="1:9" ht="20" customHeight="1" x14ac:dyDescent="0.35">
      <c r="A24" s="124"/>
      <c r="B24" s="124"/>
      <c r="C24" s="124"/>
      <c r="D24" s="124"/>
      <c r="E24" s="124"/>
      <c r="F24" s="124"/>
      <c r="G24" s="124"/>
      <c r="H24" s="124"/>
      <c r="I24" s="124"/>
    </row>
    <row r="25" spans="1:9" ht="12" customHeight="1" x14ac:dyDescent="0.35">
      <c r="A25" s="125"/>
      <c r="B25" s="125"/>
      <c r="C25" s="125"/>
      <c r="D25" s="125"/>
      <c r="E25" s="125"/>
      <c r="F25" s="125"/>
      <c r="G25" s="125"/>
      <c r="H25" s="125"/>
      <c r="I25" s="125"/>
    </row>
    <row r="26" spans="1:9" ht="30" customHeight="1" x14ac:dyDescent="0.4">
      <c r="A26" s="94"/>
      <c r="B26" s="94"/>
      <c r="C26" s="126" t="s">
        <v>37</v>
      </c>
      <c r="D26" s="126"/>
      <c r="E26" s="126"/>
      <c r="F26" s="126"/>
      <c r="G26" s="126"/>
      <c r="H26" s="95"/>
      <c r="I26" s="94"/>
    </row>
    <row r="27" spans="1:9" ht="20" customHeight="1" x14ac:dyDescent="0.4">
      <c r="A27" s="76"/>
      <c r="B27" s="76"/>
      <c r="C27" s="119" t="s">
        <v>96</v>
      </c>
      <c r="D27" s="119"/>
      <c r="E27" s="119"/>
      <c r="F27" s="119"/>
      <c r="G27" s="119"/>
      <c r="H27" s="77"/>
      <c r="I27" s="76"/>
    </row>
    <row r="28" spans="1:9" ht="20" customHeight="1" x14ac:dyDescent="0.4">
      <c r="A28" s="76"/>
      <c r="B28" s="76"/>
      <c r="C28" s="120"/>
      <c r="D28" s="120"/>
      <c r="E28" s="120"/>
      <c r="F28" s="120"/>
      <c r="G28" s="120"/>
      <c r="H28" s="77"/>
      <c r="I28" s="76"/>
    </row>
    <row r="29" spans="1:9" ht="20" customHeight="1" x14ac:dyDescent="0.4">
      <c r="A29" s="76"/>
      <c r="B29" s="76"/>
      <c r="C29" s="119" t="s">
        <v>95</v>
      </c>
      <c r="D29" s="119"/>
      <c r="E29" s="119"/>
      <c r="F29" s="119"/>
      <c r="G29" s="119"/>
      <c r="H29" s="77"/>
      <c r="I29" s="76"/>
    </row>
    <row r="30" spans="1:9" ht="20" customHeight="1" x14ac:dyDescent="0.4">
      <c r="A30" s="76"/>
      <c r="B30" s="76"/>
      <c r="C30" s="120"/>
      <c r="D30" s="120"/>
      <c r="E30" s="120"/>
      <c r="F30" s="120"/>
      <c r="G30" s="120"/>
      <c r="H30" s="77"/>
      <c r="I30" s="76"/>
    </row>
    <row r="31" spans="1:9" ht="20" customHeight="1" x14ac:dyDescent="0.4">
      <c r="A31" s="76"/>
      <c r="B31" s="76"/>
      <c r="C31" s="119" t="s">
        <v>46</v>
      </c>
      <c r="D31" s="119"/>
      <c r="E31" s="119"/>
      <c r="F31" s="119"/>
      <c r="G31" s="119"/>
      <c r="H31" s="77"/>
      <c r="I31" s="76"/>
    </row>
    <row r="32" spans="1:9" ht="20" customHeight="1" x14ac:dyDescent="0.4">
      <c r="A32" s="76"/>
      <c r="B32" s="76"/>
      <c r="C32" s="120"/>
      <c r="D32" s="120"/>
      <c r="E32" s="120"/>
      <c r="F32" s="120"/>
      <c r="G32" s="120"/>
      <c r="H32" s="77"/>
      <c r="I32" s="76"/>
    </row>
    <row r="33" spans="1:9" ht="20" customHeight="1" x14ac:dyDescent="0.4">
      <c r="A33" s="76"/>
      <c r="B33" s="76"/>
      <c r="C33" s="119" t="s">
        <v>47</v>
      </c>
      <c r="D33" s="119"/>
      <c r="E33" s="119"/>
      <c r="F33" s="119"/>
      <c r="G33" s="119"/>
      <c r="H33" s="77"/>
      <c r="I33" s="76"/>
    </row>
    <row r="34" spans="1:9" ht="20" customHeight="1" x14ac:dyDescent="0.4">
      <c r="A34" s="76"/>
      <c r="B34" s="76"/>
      <c r="C34" s="120"/>
      <c r="D34" s="120"/>
      <c r="E34" s="120"/>
      <c r="F34" s="120"/>
      <c r="G34" s="120"/>
      <c r="H34" s="77"/>
      <c r="I34" s="76"/>
    </row>
    <row r="35" spans="1:9" ht="20" customHeight="1" x14ac:dyDescent="0.4">
      <c r="A35" s="76"/>
      <c r="B35" s="76"/>
      <c r="C35" s="135" t="s">
        <v>154</v>
      </c>
      <c r="D35" s="135"/>
      <c r="E35" s="135"/>
      <c r="F35" s="135"/>
      <c r="G35" s="135"/>
      <c r="H35" s="77"/>
      <c r="I35" s="76"/>
    </row>
    <row r="36" spans="1:9" ht="20" customHeight="1" x14ac:dyDescent="0.4">
      <c r="A36" s="76"/>
      <c r="B36" s="76"/>
      <c r="C36" s="120"/>
      <c r="D36" s="120"/>
      <c r="E36" s="120"/>
      <c r="F36" s="120"/>
      <c r="G36" s="120"/>
      <c r="H36" s="77"/>
      <c r="I36" s="76"/>
    </row>
    <row r="37" spans="1:9" ht="20" customHeight="1" x14ac:dyDescent="0.4">
      <c r="A37" s="76"/>
      <c r="B37" s="76"/>
      <c r="C37" s="135" t="s">
        <v>63</v>
      </c>
      <c r="D37" s="135"/>
      <c r="E37" s="135"/>
      <c r="F37" s="135"/>
      <c r="G37" s="135"/>
      <c r="H37" s="77"/>
      <c r="I37" s="76"/>
    </row>
    <row r="38" spans="1:9" ht="20" customHeight="1" x14ac:dyDescent="0.4">
      <c r="A38" s="76"/>
      <c r="B38" s="76"/>
      <c r="C38" s="120"/>
      <c r="D38" s="120"/>
      <c r="E38" s="120"/>
      <c r="F38" s="120"/>
      <c r="G38" s="120"/>
      <c r="H38" s="77"/>
      <c r="I38" s="76"/>
    </row>
    <row r="39" spans="1:9" ht="12" customHeight="1" x14ac:dyDescent="0.4">
      <c r="A39" s="76"/>
      <c r="B39" s="76"/>
      <c r="C39" s="139"/>
      <c r="D39" s="139"/>
      <c r="E39" s="139"/>
      <c r="F39" s="139"/>
      <c r="G39" s="139"/>
      <c r="H39" s="77"/>
      <c r="I39" s="76"/>
    </row>
    <row r="40" spans="1:9" ht="12" customHeight="1" x14ac:dyDescent="0.35">
      <c r="A40" s="76"/>
      <c r="B40" s="138"/>
      <c r="C40" s="138"/>
      <c r="D40" s="138"/>
      <c r="E40" s="138"/>
      <c r="F40" s="138"/>
      <c r="G40" s="138"/>
      <c r="H40" s="138"/>
      <c r="I40" s="138"/>
    </row>
    <row r="41" spans="1:9" ht="12" customHeight="1" x14ac:dyDescent="0.35"/>
    <row r="42" spans="1:9" ht="12" customHeight="1" x14ac:dyDescent="0.35">
      <c r="A42" s="127"/>
      <c r="B42" s="127"/>
      <c r="C42" s="127"/>
      <c r="D42" s="127"/>
      <c r="E42" s="127"/>
      <c r="F42" s="127"/>
      <c r="G42" s="127"/>
      <c r="H42" s="127"/>
      <c r="I42" s="127"/>
    </row>
    <row r="43" spans="1:9" ht="27" customHeight="1" x14ac:dyDescent="0.35">
      <c r="A43" s="127"/>
      <c r="B43" s="79"/>
      <c r="C43" s="137" t="s">
        <v>151</v>
      </c>
      <c r="D43" s="137"/>
      <c r="E43" s="137"/>
      <c r="F43" s="137"/>
      <c r="G43" s="137"/>
      <c r="H43" s="79"/>
      <c r="I43" s="127"/>
    </row>
    <row r="44" spans="1:9" ht="24.5" x14ac:dyDescent="0.35">
      <c r="A44" s="127"/>
      <c r="B44" s="79"/>
      <c r="C44" s="79"/>
      <c r="D44" s="80"/>
      <c r="E44" s="79"/>
      <c r="F44" s="81" t="s">
        <v>69</v>
      </c>
      <c r="G44" s="81" t="s">
        <v>70</v>
      </c>
      <c r="H44" s="79"/>
      <c r="I44" s="127"/>
    </row>
    <row r="45" spans="1:9" ht="20" customHeight="1" x14ac:dyDescent="0.35">
      <c r="A45" s="127"/>
      <c r="B45" s="100" t="s">
        <v>53</v>
      </c>
      <c r="C45" s="100"/>
      <c r="D45" s="100"/>
      <c r="E45" s="101"/>
      <c r="F45" s="82">
        <f>(Main!$C$13+Main!$C$15+Main!$C$17+Main!$C$19+Main!$C$21)</f>
        <v>0</v>
      </c>
      <c r="G45" s="113">
        <f>(Main!$C$13+Main!$C$15+Main!$C$17+Main!$C$19+Main!$C$21)</f>
        <v>0</v>
      </c>
      <c r="H45" s="110"/>
      <c r="I45" s="127"/>
    </row>
    <row r="46" spans="1:9" ht="20" customHeight="1" x14ac:dyDescent="0.4">
      <c r="A46" s="127"/>
      <c r="B46" s="104" t="s">
        <v>54</v>
      </c>
      <c r="C46" s="104"/>
      <c r="D46" s="104"/>
      <c r="E46" s="104"/>
      <c r="F46" s="104"/>
      <c r="G46" s="104"/>
      <c r="H46" s="104"/>
      <c r="I46" s="127"/>
    </row>
    <row r="47" spans="1:9" ht="20" customHeight="1" x14ac:dyDescent="0.35">
      <c r="A47" s="127"/>
      <c r="B47" s="114" t="s">
        <v>149</v>
      </c>
      <c r="C47" s="114"/>
      <c r="D47" s="114"/>
      <c r="E47" s="115"/>
      <c r="F47" s="83">
        <f>(Data!$C$3)</f>
        <v>0</v>
      </c>
      <c r="G47" s="116" t="s">
        <v>97</v>
      </c>
      <c r="H47" s="117"/>
      <c r="I47" s="127"/>
    </row>
    <row r="48" spans="1:9" ht="20" customHeight="1" x14ac:dyDescent="0.35">
      <c r="A48" s="127"/>
      <c r="B48" s="102" t="s">
        <v>60</v>
      </c>
      <c r="C48" s="102"/>
      <c r="D48" s="102"/>
      <c r="E48" s="103"/>
      <c r="F48" s="84">
        <f>(Data!$C$4)</f>
        <v>0</v>
      </c>
      <c r="G48" s="107">
        <f>(Data!$C$4)</f>
        <v>0</v>
      </c>
      <c r="H48" s="108"/>
      <c r="I48" s="127"/>
    </row>
    <row r="49" spans="1:9" ht="20" customHeight="1" x14ac:dyDescent="0.35">
      <c r="A49" s="127"/>
      <c r="B49" s="102" t="s">
        <v>145</v>
      </c>
      <c r="C49" s="102"/>
      <c r="D49" s="102"/>
      <c r="E49" s="103"/>
      <c r="F49" s="84">
        <f>(Data!$C$27)</f>
        <v>0</v>
      </c>
      <c r="G49" s="105" t="s">
        <v>97</v>
      </c>
      <c r="H49" s="106"/>
      <c r="I49" s="127"/>
    </row>
    <row r="50" spans="1:9" ht="20" customHeight="1" x14ac:dyDescent="0.35">
      <c r="A50" s="127"/>
      <c r="B50" s="100" t="s">
        <v>56</v>
      </c>
      <c r="C50" s="100"/>
      <c r="D50" s="100"/>
      <c r="E50" s="101"/>
      <c r="F50" s="85">
        <f>(F45-(F47+F48+F49))</f>
        <v>0</v>
      </c>
      <c r="G50" s="98">
        <f>(G45-G48)</f>
        <v>0</v>
      </c>
      <c r="H50" s="99"/>
      <c r="I50" s="127"/>
    </row>
    <row r="51" spans="1:9" ht="20" customHeight="1" x14ac:dyDescent="0.4">
      <c r="A51" s="127"/>
      <c r="B51" s="104" t="s">
        <v>57</v>
      </c>
      <c r="C51" s="104"/>
      <c r="D51" s="104"/>
      <c r="E51" s="104"/>
      <c r="F51" s="104"/>
      <c r="G51" s="104"/>
      <c r="H51" s="104"/>
      <c r="I51" s="127"/>
    </row>
    <row r="52" spans="1:9" ht="20" customHeight="1" x14ac:dyDescent="0.35">
      <c r="A52" s="127"/>
      <c r="B52" s="102" t="s">
        <v>146</v>
      </c>
      <c r="C52" s="102"/>
      <c r="D52" s="102"/>
      <c r="E52" s="103"/>
      <c r="F52" s="84">
        <f>(Data!$H$44)</f>
        <v>0</v>
      </c>
      <c r="G52" s="107">
        <f>(Data!I44)</f>
        <v>0</v>
      </c>
      <c r="H52" s="108"/>
      <c r="I52" s="127"/>
    </row>
    <row r="53" spans="1:9" ht="20" customHeight="1" x14ac:dyDescent="0.35">
      <c r="A53" s="127"/>
      <c r="B53" s="102" t="s">
        <v>155</v>
      </c>
      <c r="C53" s="102"/>
      <c r="D53" s="102"/>
      <c r="E53" s="103"/>
      <c r="F53" s="84">
        <f>IF(F50&lt;=500000,F52,0)</f>
        <v>0</v>
      </c>
      <c r="G53" s="107">
        <f>IF(G50&lt;=500000,G52,0)</f>
        <v>0</v>
      </c>
      <c r="H53" s="108"/>
      <c r="I53" s="127"/>
    </row>
    <row r="54" spans="1:9" ht="20" customHeight="1" x14ac:dyDescent="0.35">
      <c r="A54" s="127"/>
      <c r="B54" s="102" t="s">
        <v>147</v>
      </c>
      <c r="C54" s="102"/>
      <c r="D54" s="102"/>
      <c r="E54" s="103"/>
      <c r="F54" s="84">
        <f>MAX(Data!$C$54:$P$54)</f>
        <v>0</v>
      </c>
      <c r="G54" s="107">
        <f>MAX(Data!$C$73:$P$73)</f>
        <v>0</v>
      </c>
      <c r="H54" s="108"/>
      <c r="I54" s="127"/>
    </row>
    <row r="55" spans="1:9" ht="20" customHeight="1" x14ac:dyDescent="0.35">
      <c r="A55" s="127"/>
      <c r="B55" s="102" t="s">
        <v>148</v>
      </c>
      <c r="C55" s="102"/>
      <c r="D55" s="102"/>
      <c r="E55" s="103"/>
      <c r="F55" s="84">
        <f>IF(F50&lt;=500000,0,(F52+F54)*4/100)</f>
        <v>0</v>
      </c>
      <c r="G55" s="107">
        <f>IF(G50&lt;=500000,0,(G52+G54)*4/100)</f>
        <v>0</v>
      </c>
      <c r="H55" s="108"/>
      <c r="I55" s="127"/>
    </row>
    <row r="56" spans="1:9" ht="20" customHeight="1" x14ac:dyDescent="0.35">
      <c r="A56" s="127"/>
      <c r="B56" s="100" t="s">
        <v>94</v>
      </c>
      <c r="C56" s="100"/>
      <c r="D56" s="100"/>
      <c r="E56" s="101"/>
      <c r="F56" s="85">
        <f>IF(F50&lt;=500000,0,SUM(F52:F55))</f>
        <v>0</v>
      </c>
      <c r="G56" s="98">
        <f>IF(G50&lt;=500000,0,SUM(G52:G55))</f>
        <v>0</v>
      </c>
      <c r="H56" s="99"/>
      <c r="I56" s="127"/>
    </row>
    <row r="57" spans="1:9" ht="12" customHeight="1" x14ac:dyDescent="0.35">
      <c r="A57" s="127"/>
      <c r="B57" s="79"/>
      <c r="C57" s="144" t="s">
        <v>126</v>
      </c>
      <c r="D57" s="144"/>
      <c r="E57" s="144"/>
      <c r="F57" s="144"/>
      <c r="G57" s="144"/>
      <c r="H57" s="79"/>
      <c r="I57" s="127"/>
    </row>
    <row r="58" spans="1:9" ht="13.75" customHeight="1" x14ac:dyDescent="0.35">
      <c r="A58" s="127"/>
      <c r="B58" s="127"/>
      <c r="C58" s="127"/>
      <c r="D58" s="127"/>
      <c r="E58" s="127"/>
      <c r="F58" s="127"/>
      <c r="G58" s="127"/>
      <c r="H58" s="127"/>
      <c r="I58" s="127"/>
    </row>
    <row r="59" spans="1:9" ht="23.4" customHeight="1" x14ac:dyDescent="0.35"/>
    <row r="60" spans="1:9" ht="12" customHeight="1" x14ac:dyDescent="0.35">
      <c r="A60" s="127"/>
      <c r="B60" s="127"/>
      <c r="C60" s="127"/>
      <c r="D60" s="127"/>
      <c r="E60" s="127"/>
      <c r="F60" s="127"/>
      <c r="G60" s="127"/>
      <c r="H60" s="127"/>
      <c r="I60" s="127"/>
    </row>
    <row r="61" spans="1:9" ht="25.75" customHeight="1" x14ac:dyDescent="0.35">
      <c r="A61" s="127"/>
      <c r="B61" s="86"/>
      <c r="C61" s="140" t="s">
        <v>152</v>
      </c>
      <c r="D61" s="140"/>
      <c r="E61" s="140"/>
      <c r="F61" s="140"/>
      <c r="G61" s="140"/>
      <c r="H61" s="86"/>
      <c r="I61" s="127"/>
    </row>
    <row r="62" spans="1:9" ht="24.5" x14ac:dyDescent="0.35">
      <c r="A62" s="127"/>
      <c r="B62" s="86"/>
      <c r="C62" s="86"/>
      <c r="D62" s="87"/>
      <c r="E62" s="86"/>
      <c r="F62" s="88" t="s">
        <v>100</v>
      </c>
      <c r="G62" s="88" t="s">
        <v>101</v>
      </c>
      <c r="H62" s="86"/>
      <c r="I62" s="127"/>
    </row>
    <row r="63" spans="1:9" ht="20" customHeight="1" x14ac:dyDescent="0.35">
      <c r="A63" s="127"/>
      <c r="B63" s="100" t="s">
        <v>53</v>
      </c>
      <c r="C63" s="100"/>
      <c r="D63" s="100"/>
      <c r="E63" s="100"/>
      <c r="F63" s="89">
        <f>(Main!$C$13+Main!$C$15+Main!$C$17+Main!$C$19+Main!$C$21)</f>
        <v>0</v>
      </c>
      <c r="G63" s="110">
        <f>(Main!$C$13+Main!$C$15+Main!$C$17+Main!$C$19+Main!$C$21)</f>
        <v>0</v>
      </c>
      <c r="H63" s="110"/>
      <c r="I63" s="127"/>
    </row>
    <row r="64" spans="1:9" ht="20" customHeight="1" x14ac:dyDescent="0.35">
      <c r="A64" s="127"/>
      <c r="B64" s="112" t="s">
        <v>54</v>
      </c>
      <c r="C64" s="112"/>
      <c r="D64" s="112"/>
      <c r="E64" s="112"/>
      <c r="F64" s="112"/>
      <c r="G64" s="112"/>
      <c r="H64" s="112"/>
      <c r="I64" s="127"/>
    </row>
    <row r="65" spans="1:9" ht="20" customHeight="1" x14ac:dyDescent="0.35">
      <c r="A65" s="127"/>
      <c r="B65" s="114" t="s">
        <v>55</v>
      </c>
      <c r="C65" s="114"/>
      <c r="D65" s="114"/>
      <c r="E65" s="114"/>
      <c r="F65" s="90">
        <f>(Data!$C$3)</f>
        <v>0</v>
      </c>
      <c r="G65" s="143">
        <f>(Data!C3)</f>
        <v>0</v>
      </c>
      <c r="H65" s="143"/>
      <c r="I65" s="127"/>
    </row>
    <row r="66" spans="1:9" ht="20" customHeight="1" x14ac:dyDescent="0.35">
      <c r="A66" s="127"/>
      <c r="B66" s="102" t="s">
        <v>144</v>
      </c>
      <c r="C66" s="102"/>
      <c r="D66" s="102"/>
      <c r="E66" s="102"/>
      <c r="F66" s="91">
        <f>(Data!$C$4)</f>
        <v>0</v>
      </c>
      <c r="G66" s="108">
        <f>(Data!$C$4)</f>
        <v>0</v>
      </c>
      <c r="H66" s="108"/>
      <c r="I66" s="127"/>
    </row>
    <row r="67" spans="1:9" s="66" customFormat="1" ht="20" customHeight="1" x14ac:dyDescent="0.35">
      <c r="A67" s="127"/>
      <c r="B67" s="111" t="s">
        <v>145</v>
      </c>
      <c r="C67" s="111"/>
      <c r="D67" s="111"/>
      <c r="E67" s="111"/>
      <c r="F67" s="92">
        <f>(Data!$C$27)</f>
        <v>0</v>
      </c>
      <c r="G67" s="142" t="s">
        <v>97</v>
      </c>
      <c r="H67" s="142"/>
      <c r="I67" s="127"/>
    </row>
    <row r="68" spans="1:9" ht="20" customHeight="1" x14ac:dyDescent="0.35">
      <c r="A68" s="127"/>
      <c r="B68" s="100" t="s">
        <v>56</v>
      </c>
      <c r="C68" s="100"/>
      <c r="D68" s="100"/>
      <c r="E68" s="100"/>
      <c r="F68" s="89">
        <f>(F63-(F65+F66+F67))</f>
        <v>0</v>
      </c>
      <c r="G68" s="110">
        <f>(G63-(G65+G66))</f>
        <v>0</v>
      </c>
      <c r="H68" s="110"/>
      <c r="I68" s="127"/>
    </row>
    <row r="69" spans="1:9" ht="20" customHeight="1" x14ac:dyDescent="0.35">
      <c r="A69" s="127"/>
      <c r="B69" s="112" t="s">
        <v>57</v>
      </c>
      <c r="C69" s="112"/>
      <c r="D69" s="112"/>
      <c r="E69" s="112"/>
      <c r="F69" s="112"/>
      <c r="G69" s="112"/>
      <c r="H69" s="112"/>
      <c r="I69" s="127"/>
    </row>
    <row r="70" spans="1:9" ht="20" customHeight="1" x14ac:dyDescent="0.35">
      <c r="A70" s="127"/>
      <c r="B70" s="114" t="s">
        <v>146</v>
      </c>
      <c r="C70" s="114"/>
      <c r="D70" s="114"/>
      <c r="E70" s="114"/>
      <c r="F70" s="90">
        <f>(Data!$H$44)</f>
        <v>0</v>
      </c>
      <c r="G70" s="143">
        <f>IF(AND(C21&gt;700000,C21&lt;727780),Data!E96,Data!E95)</f>
        <v>0</v>
      </c>
      <c r="H70" s="143"/>
      <c r="I70" s="127"/>
    </row>
    <row r="71" spans="1:9" ht="20" customHeight="1" x14ac:dyDescent="0.35">
      <c r="A71" s="127"/>
      <c r="B71" s="102" t="s">
        <v>155</v>
      </c>
      <c r="C71" s="102"/>
      <c r="D71" s="102"/>
      <c r="E71" s="102"/>
      <c r="F71" s="90">
        <f>IF(F68&lt;=500000,F70,0)</f>
        <v>0</v>
      </c>
      <c r="G71" s="108">
        <f>IF(G68&lt;=700000,G70,0)</f>
        <v>0</v>
      </c>
      <c r="H71" s="108"/>
      <c r="I71" s="127"/>
    </row>
    <row r="72" spans="1:9" ht="20" customHeight="1" x14ac:dyDescent="0.35">
      <c r="A72" s="127"/>
      <c r="B72" s="102" t="s">
        <v>147</v>
      </c>
      <c r="C72" s="102"/>
      <c r="D72" s="102"/>
      <c r="E72" s="102"/>
      <c r="F72" s="91">
        <f>MAX(Data!$C$54:$P$54)</f>
        <v>0</v>
      </c>
      <c r="G72" s="108">
        <f>MAX(Data!C109:P109)</f>
        <v>0</v>
      </c>
      <c r="H72" s="108"/>
      <c r="I72" s="127"/>
    </row>
    <row r="73" spans="1:9" ht="20" customHeight="1" x14ac:dyDescent="0.35">
      <c r="A73" s="127"/>
      <c r="B73" s="111" t="s">
        <v>148</v>
      </c>
      <c r="C73" s="111"/>
      <c r="D73" s="111"/>
      <c r="E73" s="111"/>
      <c r="F73" s="92">
        <f>IF(F68&lt;=500000,0,(F70+F72)*4/100)</f>
        <v>0</v>
      </c>
      <c r="G73" s="109">
        <f>IF(G68&lt;=700000,0,(G70+G72)*4/100)</f>
        <v>0</v>
      </c>
      <c r="H73" s="109"/>
      <c r="I73" s="127"/>
    </row>
    <row r="74" spans="1:9" ht="20" customHeight="1" x14ac:dyDescent="0.35">
      <c r="A74" s="127"/>
      <c r="B74" s="100" t="s">
        <v>94</v>
      </c>
      <c r="C74" s="100"/>
      <c r="D74" s="100"/>
      <c r="E74" s="100"/>
      <c r="F74" s="93">
        <f>IF(F68&lt;=500000,0,SUM(F70:F73))</f>
        <v>0</v>
      </c>
      <c r="G74" s="110">
        <f>IF(G68&lt;=700000,0,SUM(G70:G73))</f>
        <v>0</v>
      </c>
      <c r="H74" s="110"/>
      <c r="I74" s="127"/>
    </row>
    <row r="75" spans="1:9" ht="12" customHeight="1" x14ac:dyDescent="0.35">
      <c r="A75" s="127"/>
      <c r="B75" s="86"/>
      <c r="C75" s="141" t="s">
        <v>126</v>
      </c>
      <c r="D75" s="141"/>
      <c r="E75" s="141"/>
      <c r="F75" s="141"/>
      <c r="G75" s="141"/>
      <c r="H75" s="86"/>
      <c r="I75" s="127"/>
    </row>
    <row r="76" spans="1:9" ht="12" customHeight="1" x14ac:dyDescent="0.35">
      <c r="A76" s="127"/>
      <c r="B76" s="127"/>
      <c r="C76" s="127"/>
      <c r="D76" s="127"/>
      <c r="E76" s="127"/>
      <c r="F76" s="127"/>
      <c r="G76" s="127"/>
      <c r="H76" s="127"/>
      <c r="I76" s="127"/>
    </row>
    <row r="77" spans="1:9" ht="20" customHeight="1" x14ac:dyDescent="0.35">
      <c r="A77" s="73"/>
      <c r="B77" s="73"/>
      <c r="C77" s="73"/>
      <c r="D77" s="73"/>
      <c r="F77" s="73"/>
      <c r="G77" s="73"/>
      <c r="H77" s="73"/>
      <c r="I77" s="73"/>
    </row>
    <row r="78" spans="1:9" ht="20" customHeight="1" x14ac:dyDescent="0.35">
      <c r="A78" s="73"/>
      <c r="B78" s="73"/>
      <c r="C78" s="73"/>
      <c r="D78" s="73"/>
      <c r="E78" s="73"/>
      <c r="F78" s="73"/>
      <c r="G78" s="73"/>
      <c r="H78" s="73"/>
      <c r="I78" s="73"/>
    </row>
    <row r="79" spans="1:9" ht="20" customHeight="1" x14ac:dyDescent="0.35">
      <c r="B79" s="96" t="s">
        <v>150</v>
      </c>
      <c r="C79" s="97"/>
      <c r="D79" s="97"/>
      <c r="E79" s="97"/>
      <c r="F79" s="97"/>
      <c r="G79" s="97"/>
      <c r="H79" s="97"/>
      <c r="I79" s="97"/>
    </row>
    <row r="80" spans="1:9" ht="20" customHeight="1" x14ac:dyDescent="0.35">
      <c r="B80" s="97"/>
      <c r="C80" s="97"/>
      <c r="D80" s="97"/>
      <c r="E80" s="97"/>
      <c r="F80" s="97"/>
      <c r="G80" s="97"/>
      <c r="H80" s="97"/>
      <c r="I80" s="97"/>
    </row>
    <row r="81" spans="2:9" ht="20" customHeight="1" x14ac:dyDescent="0.35">
      <c r="B81" s="97"/>
      <c r="C81" s="97"/>
      <c r="D81" s="97"/>
      <c r="E81" s="97"/>
      <c r="F81" s="97"/>
      <c r="G81" s="97"/>
      <c r="H81" s="97"/>
      <c r="I81" s="97"/>
    </row>
    <row r="82" spans="2:9" ht="20" customHeight="1" x14ac:dyDescent="0.35">
      <c r="B82" s="97"/>
      <c r="C82" s="97"/>
      <c r="D82" s="97"/>
      <c r="E82" s="97"/>
      <c r="F82" s="97"/>
      <c r="G82" s="97"/>
      <c r="H82" s="97"/>
      <c r="I82" s="97"/>
    </row>
    <row r="83" spans="2:9" ht="98.4" customHeight="1" x14ac:dyDescent="0.35">
      <c r="B83" s="97"/>
      <c r="C83" s="97"/>
      <c r="D83" s="97"/>
      <c r="E83" s="97"/>
      <c r="F83" s="97"/>
      <c r="G83" s="97"/>
      <c r="H83" s="97"/>
      <c r="I83" s="97"/>
    </row>
  </sheetData>
  <sheetProtection password="D6E7" sheet="1" objects="1" scenarios="1"/>
  <mergeCells count="99">
    <mergeCell ref="B70:E70"/>
    <mergeCell ref="I43:I57"/>
    <mergeCell ref="C57:G57"/>
    <mergeCell ref="A58:I58"/>
    <mergeCell ref="G65:H65"/>
    <mergeCell ref="G66:H66"/>
    <mergeCell ref="A76:I76"/>
    <mergeCell ref="A60:I60"/>
    <mergeCell ref="A61:A75"/>
    <mergeCell ref="C61:G61"/>
    <mergeCell ref="I61:I75"/>
    <mergeCell ref="C75:G75"/>
    <mergeCell ref="B65:E65"/>
    <mergeCell ref="B66:E66"/>
    <mergeCell ref="G67:H67"/>
    <mergeCell ref="G68:H68"/>
    <mergeCell ref="B63:E63"/>
    <mergeCell ref="B68:E68"/>
    <mergeCell ref="B74:E74"/>
    <mergeCell ref="G63:H63"/>
    <mergeCell ref="G70:H70"/>
    <mergeCell ref="G72:H72"/>
    <mergeCell ref="C16:G16"/>
    <mergeCell ref="C37:G37"/>
    <mergeCell ref="C38:G38"/>
    <mergeCell ref="C17:G17"/>
    <mergeCell ref="C43:G43"/>
    <mergeCell ref="B40:I40"/>
    <mergeCell ref="C39:G39"/>
    <mergeCell ref="A42:I42"/>
    <mergeCell ref="C31:G31"/>
    <mergeCell ref="C32:G32"/>
    <mergeCell ref="C33:G33"/>
    <mergeCell ref="C34:G34"/>
    <mergeCell ref="C36:G36"/>
    <mergeCell ref="C35:G35"/>
    <mergeCell ref="C19:G19"/>
    <mergeCell ref="A43:A57"/>
    <mergeCell ref="C11:G11"/>
    <mergeCell ref="C12:G12"/>
    <mergeCell ref="C13:G13"/>
    <mergeCell ref="C14:G14"/>
    <mergeCell ref="C15:G15"/>
    <mergeCell ref="A8:I8"/>
    <mergeCell ref="A10:I10"/>
    <mergeCell ref="A9:I9"/>
    <mergeCell ref="C7:G7"/>
    <mergeCell ref="A1:A7"/>
    <mergeCell ref="I2:I7"/>
    <mergeCell ref="C2:G2"/>
    <mergeCell ref="C3:G3"/>
    <mergeCell ref="C4:G4"/>
    <mergeCell ref="C5:G5"/>
    <mergeCell ref="C6:G6"/>
    <mergeCell ref="B1:I1"/>
    <mergeCell ref="C18:G18"/>
    <mergeCell ref="C29:G29"/>
    <mergeCell ref="C30:G30"/>
    <mergeCell ref="C20:G20"/>
    <mergeCell ref="C21:G21"/>
    <mergeCell ref="B23:I23"/>
    <mergeCell ref="C22:G22"/>
    <mergeCell ref="A24:I24"/>
    <mergeCell ref="A25:I25"/>
    <mergeCell ref="C26:G26"/>
    <mergeCell ref="C27:G27"/>
    <mergeCell ref="C28:G28"/>
    <mergeCell ref="B72:E72"/>
    <mergeCell ref="B73:E73"/>
    <mergeCell ref="B64:H64"/>
    <mergeCell ref="B69:H69"/>
    <mergeCell ref="B45:E45"/>
    <mergeCell ref="G45:H45"/>
    <mergeCell ref="B46:H46"/>
    <mergeCell ref="B47:E47"/>
    <mergeCell ref="B48:E48"/>
    <mergeCell ref="G47:H47"/>
    <mergeCell ref="G48:H48"/>
    <mergeCell ref="B53:E53"/>
    <mergeCell ref="G53:H53"/>
    <mergeCell ref="B71:E71"/>
    <mergeCell ref="G71:H71"/>
    <mergeCell ref="B67:E67"/>
    <mergeCell ref="B79:I83"/>
    <mergeCell ref="G56:H56"/>
    <mergeCell ref="B50:E50"/>
    <mergeCell ref="B56:E56"/>
    <mergeCell ref="B49:E49"/>
    <mergeCell ref="B52:E52"/>
    <mergeCell ref="B54:E54"/>
    <mergeCell ref="B55:E55"/>
    <mergeCell ref="B51:H51"/>
    <mergeCell ref="G49:H49"/>
    <mergeCell ref="G50:H50"/>
    <mergeCell ref="G52:H52"/>
    <mergeCell ref="G54:H54"/>
    <mergeCell ref="G55:H55"/>
    <mergeCell ref="G73:H73"/>
    <mergeCell ref="G74:H74"/>
  </mergeCells>
  <dataValidations count="2">
    <dataValidation type="list" allowBlank="1" showInputMessage="1" showErrorMessage="1" sqref="C6" xr:uid="{00000000-0002-0000-0000-000000000000}">
      <formula1>_options4</formula1>
    </dataValidation>
    <dataValidation type="list" allowBlank="1" showInputMessage="1" showErrorMessage="1" sqref="C4" xr:uid="{00000000-0002-0000-0000-000001000000}">
      <formula1>_options6</formula1>
    </dataValidation>
  </dataValidations>
  <hyperlinks>
    <hyperlink ref="C57" r:id="rId1" xr:uid="{00000000-0004-0000-0000-000000000000}"/>
    <hyperlink ref="C75" r:id="rId2" xr:uid="{00000000-0004-0000-0000-000001000000}"/>
  </hyperlinks>
  <pageMargins left="0.7" right="0.7" top="0.75" bottom="0.75" header="0.3" footer="0.3"/>
  <pageSetup paperSize="9" orientation="portrait" verticalDpi="0" r:id="rId3"/>
  <customProperties>
    <customPr name="SSC_SHEET_GU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23"/>
  <sheetViews>
    <sheetView topLeftCell="D30" zoomScale="55" zoomScaleNormal="55" workbookViewId="0">
      <selection activeCell="L41" sqref="L41"/>
    </sheetView>
  </sheetViews>
  <sheetFormatPr defaultColWidth="8.90625" defaultRowHeight="14.5" x14ac:dyDescent="0.35"/>
  <cols>
    <col min="1" max="1" width="26" style="9" bestFit="1" customWidth="1"/>
    <col min="2" max="2" width="26" style="9" customWidth="1"/>
    <col min="3" max="3" width="13.54296875" style="9" bestFit="1" customWidth="1"/>
    <col min="4" max="4" width="9.36328125" style="9" customWidth="1"/>
    <col min="5" max="5" width="13.90625" style="9" bestFit="1" customWidth="1"/>
    <col min="6" max="6" width="6.453125" style="9" customWidth="1"/>
    <col min="7" max="7" width="8.90625" style="9"/>
    <col min="8" max="8" width="10.26953125" style="9" customWidth="1"/>
    <col min="9" max="9" width="13.7265625" style="9" customWidth="1"/>
    <col min="10" max="10" width="8.90625" style="9" customWidth="1"/>
    <col min="11" max="11" width="11" style="9" customWidth="1"/>
    <col min="12" max="12" width="18.90625" style="9" customWidth="1"/>
    <col min="13" max="13" width="35" style="9" bestFit="1" customWidth="1"/>
    <col min="14" max="15" width="12.6328125" style="9" bestFit="1" customWidth="1"/>
    <col min="16" max="16" width="12.81640625" style="9" bestFit="1" customWidth="1"/>
    <col min="17" max="16384" width="8.90625" style="9"/>
  </cols>
  <sheetData>
    <row r="1" spans="1:18" x14ac:dyDescent="0.35">
      <c r="A1" s="4"/>
      <c r="B1" s="63" t="s">
        <v>62</v>
      </c>
      <c r="C1" s="63" t="s">
        <v>61</v>
      </c>
      <c r="D1" s="63"/>
      <c r="E1" s="63" t="s">
        <v>12</v>
      </c>
      <c r="F1" s="3"/>
      <c r="G1" s="4"/>
      <c r="H1" s="4"/>
      <c r="I1" s="4"/>
      <c r="J1" s="4"/>
      <c r="K1" s="4"/>
      <c r="L1" s="4"/>
      <c r="M1" s="4"/>
      <c r="N1" s="4"/>
      <c r="O1" s="4"/>
      <c r="P1" s="4"/>
      <c r="Q1" s="4"/>
      <c r="R1" s="4"/>
    </row>
    <row r="2" spans="1:18" x14ac:dyDescent="0.35">
      <c r="A2" s="4"/>
      <c r="B2" s="64" t="s">
        <v>59</v>
      </c>
      <c r="C2" s="65">
        <f>(Main!$C$13+Main!$C$15+Main!$C$17+Main!$C$19+Main!$C$21)</f>
        <v>0</v>
      </c>
      <c r="D2" s="65"/>
      <c r="E2" s="1">
        <f>(Main!$C$13+Main!$C$15+Main!$C$17+Main!$C$19+Main!$C$21)</f>
        <v>0</v>
      </c>
      <c r="F2"/>
      <c r="G2" s="4"/>
      <c r="H2" s="4"/>
      <c r="I2" s="4"/>
      <c r="J2" s="4"/>
      <c r="K2" s="4"/>
      <c r="L2" s="4"/>
      <c r="M2" s="4"/>
      <c r="N2" s="4"/>
      <c r="O2" s="4"/>
      <c r="P2" s="4"/>
      <c r="Q2" s="4"/>
      <c r="R2" s="4"/>
    </row>
    <row r="3" spans="1:18" x14ac:dyDescent="0.35">
      <c r="A3" s="4"/>
      <c r="B3" s="64" t="s">
        <v>55</v>
      </c>
      <c r="C3" s="64">
        <f>IF(Main!$C$13&gt;0,50000,0)</f>
        <v>0</v>
      </c>
      <c r="D3" s="64"/>
      <c r="E3" s="1"/>
      <c r="F3"/>
      <c r="G3" s="4"/>
      <c r="H3" s="4"/>
      <c r="I3" s="4"/>
      <c r="J3" s="4"/>
      <c r="K3" s="4"/>
      <c r="L3" s="4"/>
      <c r="M3" s="4"/>
      <c r="N3" s="4"/>
      <c r="O3" s="4"/>
      <c r="P3" s="4"/>
      <c r="Q3" s="4"/>
      <c r="R3" s="4"/>
    </row>
    <row r="4" spans="1:18" x14ac:dyDescent="0.35">
      <c r="A4" s="4"/>
      <c r="B4" s="64" t="s">
        <v>60</v>
      </c>
      <c r="C4" s="64">
        <f>IF(Main!$C$19&gt;0,(Main!$C$19*30/100),0)</f>
        <v>0</v>
      </c>
      <c r="D4" s="64"/>
      <c r="E4" s="64">
        <f>IF(Main!$C$19&gt;0,(Main!$C$19*30/100),0)</f>
        <v>0</v>
      </c>
      <c r="F4" s="4"/>
      <c r="G4" s="4"/>
      <c r="H4" s="4"/>
      <c r="I4" s="4"/>
      <c r="J4" s="4"/>
      <c r="K4" s="4"/>
      <c r="L4" s="4"/>
      <c r="M4" s="4"/>
      <c r="N4" s="4"/>
      <c r="O4" s="4"/>
      <c r="P4" s="4"/>
      <c r="Q4" s="4"/>
      <c r="R4" s="4"/>
    </row>
    <row r="5" spans="1:18" x14ac:dyDescent="0.35">
      <c r="A5" s="4"/>
      <c r="B5" s="64"/>
      <c r="C5" s="64"/>
      <c r="D5" s="64"/>
      <c r="E5" s="64"/>
      <c r="F5" s="4"/>
      <c r="G5" s="4"/>
      <c r="H5" s="4"/>
      <c r="I5" s="4"/>
      <c r="J5" s="4"/>
      <c r="K5" s="4"/>
      <c r="L5" s="4"/>
      <c r="M5" s="4"/>
      <c r="N5" s="4"/>
      <c r="O5" s="4"/>
      <c r="P5" s="4"/>
      <c r="Q5" s="4"/>
      <c r="R5" s="4"/>
    </row>
    <row r="6" spans="1:18" x14ac:dyDescent="0.35">
      <c r="A6" s="4"/>
      <c r="B6" s="64"/>
      <c r="C6" s="64"/>
      <c r="D6" s="64"/>
      <c r="E6" s="64"/>
      <c r="F6" s="4"/>
      <c r="G6" s="4"/>
      <c r="H6" s="4"/>
      <c r="I6" s="4"/>
      <c r="J6" s="4"/>
      <c r="K6" s="4"/>
      <c r="L6" s="4"/>
      <c r="M6" s="4"/>
      <c r="N6" s="4"/>
      <c r="O6" s="4"/>
      <c r="P6" s="4"/>
      <c r="Q6" s="4"/>
      <c r="R6" s="4"/>
    </row>
    <row r="7" spans="1:18" x14ac:dyDescent="0.35">
      <c r="A7" s="4"/>
      <c r="B7" s="64"/>
      <c r="C7" s="65">
        <f>(C2-C3-C4)</f>
        <v>0</v>
      </c>
      <c r="D7" s="64"/>
      <c r="E7" s="64">
        <f>(E2-E3-E4)</f>
        <v>0</v>
      </c>
      <c r="F7" s="4"/>
      <c r="G7" s="4"/>
      <c r="H7" s="4"/>
      <c r="I7" s="4"/>
      <c r="J7" s="4"/>
      <c r="K7" s="4"/>
      <c r="L7" s="4"/>
      <c r="M7" s="4"/>
      <c r="N7" s="4"/>
      <c r="O7" s="4"/>
      <c r="P7" s="4"/>
      <c r="Q7" s="4"/>
      <c r="R7" s="4"/>
    </row>
    <row r="8" spans="1:18" x14ac:dyDescent="0.35">
      <c r="A8" s="4"/>
      <c r="B8" s="4"/>
      <c r="C8" s="4"/>
      <c r="D8" s="4"/>
      <c r="E8" s="4"/>
      <c r="F8" s="4"/>
      <c r="G8" s="4"/>
      <c r="H8" s="4"/>
      <c r="I8" s="4"/>
      <c r="J8" s="4"/>
      <c r="K8" s="4"/>
      <c r="L8" s="4"/>
      <c r="M8" s="4"/>
      <c r="N8" s="4"/>
      <c r="O8" s="4"/>
      <c r="P8" s="4"/>
      <c r="Q8" s="4"/>
      <c r="R8" s="4"/>
    </row>
    <row r="9" spans="1:18" x14ac:dyDescent="0.35">
      <c r="A9" s="4"/>
      <c r="B9" s="4"/>
      <c r="C9" s="4"/>
      <c r="D9" s="4"/>
      <c r="E9" s="4"/>
      <c r="F9" s="4"/>
      <c r="G9" s="4"/>
      <c r="H9" s="4"/>
      <c r="I9" s="4"/>
      <c r="J9" s="4"/>
      <c r="K9" s="4"/>
      <c r="L9" s="4"/>
      <c r="M9" s="4"/>
      <c r="N9" s="4"/>
      <c r="O9" s="4"/>
      <c r="P9" s="4"/>
      <c r="Q9" s="4"/>
      <c r="R9" s="4"/>
    </row>
    <row r="10" spans="1:18" x14ac:dyDescent="0.35">
      <c r="A10" s="4"/>
      <c r="B10" s="4"/>
      <c r="C10" s="4"/>
      <c r="D10" s="4"/>
      <c r="E10" s="4"/>
      <c r="F10" s="4"/>
      <c r="G10" s="4"/>
      <c r="H10" s="4"/>
      <c r="I10" s="4"/>
      <c r="J10" s="4"/>
      <c r="K10" s="4"/>
      <c r="L10" s="4"/>
      <c r="M10" s="4"/>
      <c r="N10" s="4"/>
      <c r="O10" s="4"/>
      <c r="P10" s="4"/>
      <c r="Q10" s="4"/>
      <c r="R10" s="4"/>
    </row>
    <row r="11" spans="1:18" x14ac:dyDescent="0.35">
      <c r="A11" s="4"/>
      <c r="B11" s="4"/>
      <c r="C11" s="4"/>
      <c r="D11" s="4"/>
      <c r="E11" s="4"/>
      <c r="F11" s="4"/>
      <c r="G11" s="4"/>
      <c r="H11" s="4"/>
      <c r="I11" s="4"/>
      <c r="J11" s="4"/>
      <c r="K11" s="4"/>
      <c r="L11" s="4"/>
      <c r="M11" s="4"/>
      <c r="N11" s="4"/>
      <c r="O11" s="4"/>
      <c r="P11" s="4"/>
      <c r="Q11" s="4"/>
      <c r="R11" s="4"/>
    </row>
    <row r="12" spans="1:18" x14ac:dyDescent="0.35">
      <c r="A12" s="4"/>
      <c r="B12" s="4"/>
      <c r="C12" s="4"/>
      <c r="D12" s="4"/>
      <c r="E12" s="4"/>
      <c r="F12" s="4"/>
      <c r="G12" s="4"/>
      <c r="H12" s="4"/>
      <c r="I12" s="4"/>
      <c r="J12" s="4"/>
      <c r="K12" s="4"/>
      <c r="L12" s="4"/>
      <c r="M12" s="4"/>
      <c r="N12" s="4"/>
      <c r="O12" s="4"/>
      <c r="P12" s="4"/>
      <c r="Q12" s="4"/>
      <c r="R12" s="4"/>
    </row>
    <row r="13" spans="1:18" x14ac:dyDescent="0.35">
      <c r="A13" s="4"/>
      <c r="B13" s="3" t="s">
        <v>64</v>
      </c>
      <c r="C13" s="4"/>
      <c r="D13" s="4"/>
      <c r="E13" s="4"/>
      <c r="F13" s="4"/>
      <c r="G13" s="4"/>
      <c r="H13" s="4"/>
      <c r="I13" s="4"/>
      <c r="J13" s="4"/>
      <c r="K13" s="4"/>
      <c r="L13" s="4"/>
      <c r="M13" s="4"/>
      <c r="N13" s="4"/>
      <c r="O13" s="4"/>
      <c r="P13" s="4"/>
      <c r="Q13" s="4"/>
      <c r="R13" s="4"/>
    </row>
    <row r="14" spans="1:18" x14ac:dyDescent="0.35">
      <c r="A14" s="4"/>
      <c r="B14" s="4"/>
      <c r="C14" s="4"/>
      <c r="D14" s="4"/>
      <c r="E14" s="4"/>
      <c r="F14" s="4"/>
      <c r="G14" s="4"/>
      <c r="H14" s="4"/>
      <c r="I14" s="4"/>
      <c r="J14" s="4"/>
      <c r="K14" s="4"/>
      <c r="L14" s="4"/>
      <c r="M14" s="4"/>
      <c r="N14" s="4"/>
      <c r="O14" s="4"/>
      <c r="P14" s="4"/>
      <c r="Q14" s="4"/>
      <c r="R14" s="4"/>
    </row>
    <row r="15" spans="1:18" x14ac:dyDescent="0.35">
      <c r="A15" s="4"/>
      <c r="B15" s="4" t="s">
        <v>65</v>
      </c>
      <c r="C15" s="4">
        <f>IF(Main!C28&gt;150000, 150000, Main!C28)</f>
        <v>0</v>
      </c>
      <c r="D15" s="4"/>
      <c r="E15" s="4"/>
      <c r="F15" s="4"/>
      <c r="G15" s="4"/>
      <c r="H15" s="4"/>
      <c r="I15" s="4"/>
      <c r="J15" s="4"/>
      <c r="K15" s="4"/>
      <c r="L15" s="4"/>
      <c r="M15" s="4"/>
      <c r="N15" s="4"/>
      <c r="O15" s="4"/>
      <c r="P15" s="4"/>
      <c r="Q15" s="4"/>
      <c r="R15" s="4"/>
    </row>
    <row r="16" spans="1:18" x14ac:dyDescent="0.35">
      <c r="A16" s="4"/>
      <c r="B16" s="4"/>
      <c r="C16" s="4"/>
      <c r="D16" s="4"/>
      <c r="E16" s="4"/>
      <c r="F16" s="4"/>
      <c r="G16" s="4"/>
      <c r="H16" s="4"/>
      <c r="I16" s="4"/>
      <c r="J16" s="4"/>
      <c r="K16" s="4"/>
      <c r="L16" s="4"/>
      <c r="M16" s="4"/>
      <c r="N16" s="4"/>
      <c r="O16" s="4"/>
      <c r="P16" s="4"/>
      <c r="Q16" s="4"/>
      <c r="R16" s="4"/>
    </row>
    <row r="17" spans="1:18" x14ac:dyDescent="0.35">
      <c r="A17" s="4"/>
      <c r="B17" s="4" t="s">
        <v>65</v>
      </c>
      <c r="C17" s="4">
        <f>IF(Main!C30&gt;75000, 75000, Main!C30)</f>
        <v>0</v>
      </c>
      <c r="D17" s="4"/>
      <c r="E17" s="4"/>
      <c r="F17" s="4"/>
      <c r="G17" s="4"/>
      <c r="H17" s="4"/>
      <c r="I17" s="4"/>
      <c r="J17" s="4"/>
      <c r="K17" s="4"/>
      <c r="L17" s="4"/>
      <c r="M17" s="4"/>
      <c r="N17" s="4"/>
      <c r="O17" s="4"/>
      <c r="P17" s="4"/>
      <c r="Q17" s="4"/>
      <c r="R17" s="4"/>
    </row>
    <row r="18" spans="1:18" x14ac:dyDescent="0.35">
      <c r="A18" s="4"/>
      <c r="B18" s="4"/>
      <c r="C18" s="4"/>
      <c r="D18" s="4"/>
      <c r="E18" s="4"/>
      <c r="F18" s="4"/>
      <c r="G18" s="4"/>
      <c r="H18" s="4"/>
      <c r="I18" s="4"/>
      <c r="J18" s="4"/>
      <c r="K18" s="4"/>
      <c r="L18" s="4"/>
      <c r="M18" s="4"/>
      <c r="N18" s="4"/>
      <c r="O18" s="4"/>
      <c r="P18" s="4"/>
      <c r="Q18" s="4"/>
      <c r="R18" s="4"/>
    </row>
    <row r="19" spans="1:18" x14ac:dyDescent="0.35">
      <c r="A19" s="4"/>
      <c r="B19" s="4" t="s">
        <v>65</v>
      </c>
      <c r="C19" s="4">
        <f>(Main!C32)</f>
        <v>0</v>
      </c>
      <c r="D19" s="4"/>
      <c r="E19" s="4"/>
      <c r="F19" s="4"/>
      <c r="G19" s="4"/>
      <c r="H19" s="4"/>
      <c r="I19" s="4"/>
      <c r="J19" s="4"/>
      <c r="K19" s="4"/>
      <c r="L19" s="4"/>
      <c r="M19" s="4"/>
      <c r="N19" s="4"/>
      <c r="O19" s="4"/>
      <c r="P19" s="4"/>
      <c r="Q19" s="4"/>
      <c r="R19" s="4"/>
    </row>
    <row r="20" spans="1:18" x14ac:dyDescent="0.35">
      <c r="A20" s="4"/>
      <c r="B20" s="4"/>
      <c r="C20" s="4"/>
      <c r="D20" s="4"/>
      <c r="E20" s="4"/>
      <c r="F20" s="4"/>
      <c r="G20" s="4"/>
      <c r="H20" s="4"/>
      <c r="I20" s="4"/>
      <c r="J20" s="4"/>
      <c r="K20" s="4"/>
      <c r="L20" s="4"/>
      <c r="M20" s="4"/>
      <c r="N20" s="4"/>
      <c r="O20" s="4"/>
      <c r="P20" s="4"/>
      <c r="Q20" s="4"/>
      <c r="R20" s="4"/>
    </row>
    <row r="21" spans="1:18" x14ac:dyDescent="0.35">
      <c r="A21" s="4"/>
      <c r="B21" s="4" t="s">
        <v>66</v>
      </c>
      <c r="C21" s="4">
        <f>(Main!C34)</f>
        <v>0</v>
      </c>
      <c r="D21" s="4"/>
      <c r="E21" s="4"/>
      <c r="F21" s="4"/>
      <c r="G21" s="4"/>
      <c r="H21" s="4"/>
      <c r="I21" s="4"/>
      <c r="J21" s="4"/>
      <c r="K21" s="4"/>
      <c r="L21" s="4"/>
      <c r="M21" s="4"/>
      <c r="N21" s="4"/>
      <c r="O21" s="4"/>
      <c r="P21" s="4"/>
      <c r="Q21" s="4"/>
      <c r="R21" s="4"/>
    </row>
    <row r="22" spans="1:18" x14ac:dyDescent="0.35">
      <c r="A22" s="4"/>
      <c r="B22" s="4"/>
      <c r="C22" s="4"/>
      <c r="D22" s="4"/>
      <c r="E22" s="4"/>
      <c r="F22" s="4"/>
      <c r="G22" s="4"/>
      <c r="H22" s="4"/>
      <c r="I22" s="4"/>
      <c r="J22" s="4"/>
      <c r="K22" s="4"/>
      <c r="L22" s="4"/>
      <c r="M22" s="4"/>
      <c r="N22" s="4"/>
      <c r="O22" s="4"/>
      <c r="P22" s="4"/>
      <c r="Q22" s="4"/>
      <c r="R22" s="4"/>
    </row>
    <row r="23" spans="1:18" x14ac:dyDescent="0.35">
      <c r="A23" s="4"/>
      <c r="B23" s="4" t="s">
        <v>67</v>
      </c>
      <c r="C23" s="4">
        <f>IF(Main!C36&gt;150000, 150000, Main!C36)</f>
        <v>0</v>
      </c>
      <c r="D23" s="4"/>
      <c r="E23" s="4"/>
      <c r="F23" s="4"/>
      <c r="G23" s="4"/>
      <c r="H23" s="4"/>
      <c r="I23" s="4"/>
      <c r="J23" s="4"/>
      <c r="K23" s="4"/>
      <c r="L23" s="4"/>
      <c r="M23" s="4"/>
      <c r="N23" s="4"/>
      <c r="O23" s="4"/>
      <c r="P23" s="4"/>
      <c r="Q23" s="4"/>
      <c r="R23" s="4"/>
    </row>
    <row r="24" spans="1:18" x14ac:dyDescent="0.35">
      <c r="A24" s="4"/>
      <c r="B24" s="4"/>
      <c r="C24" s="4"/>
      <c r="D24" s="4"/>
      <c r="E24" s="4"/>
      <c r="F24" s="4"/>
      <c r="G24" s="4"/>
      <c r="H24" s="4"/>
      <c r="I24" s="4"/>
      <c r="J24" s="4"/>
      <c r="K24" s="4"/>
      <c r="L24" s="4"/>
      <c r="M24" s="4"/>
      <c r="N24" s="4"/>
      <c r="O24" s="4"/>
      <c r="P24" s="4"/>
      <c r="Q24" s="4"/>
      <c r="R24" s="4"/>
    </row>
    <row r="25" spans="1:18" x14ac:dyDescent="0.35">
      <c r="A25" s="4"/>
      <c r="B25" s="4" t="s">
        <v>68</v>
      </c>
      <c r="C25" s="4">
        <f>IF(Main!C6="0 to 60 Years",E26,IF(Main!C6="60 to 80 Years",F26,IF(Main!C6="Above 80 Years",G26,0)))</f>
        <v>0</v>
      </c>
      <c r="D25" s="4"/>
      <c r="E25" s="4" t="s">
        <v>21</v>
      </c>
      <c r="F25" s="4" t="s">
        <v>22</v>
      </c>
      <c r="G25" s="4" t="s">
        <v>3</v>
      </c>
      <c r="H25" s="4"/>
      <c r="I25" s="4"/>
      <c r="J25" s="4"/>
      <c r="K25" s="4"/>
      <c r="L25" s="4"/>
      <c r="M25" s="4"/>
      <c r="N25" s="4"/>
      <c r="O25" s="4"/>
      <c r="P25" s="4"/>
      <c r="Q25" s="4"/>
      <c r="R25" s="4"/>
    </row>
    <row r="26" spans="1:18" x14ac:dyDescent="0.35">
      <c r="A26" s="4"/>
      <c r="B26" s="4"/>
      <c r="C26" s="4"/>
      <c r="D26" s="4"/>
      <c r="E26" s="4">
        <f>IF(AND(Main!$C$6="0 to 60 Years",Main!$C$38&gt;10000),10000,Main!$C$38)</f>
        <v>0</v>
      </c>
      <c r="F26" s="4">
        <f>IF(AND(Main!$C$6="60 to 80 Years",Main!$C$38&gt;50000),50000,Main!$C$38)</f>
        <v>0</v>
      </c>
      <c r="G26" s="4">
        <f>IF(AND(Main!$C$6="Above 80 Years",Main!$C$38&gt;50000),50000,Main!$C$38)</f>
        <v>0</v>
      </c>
      <c r="H26" s="4"/>
      <c r="I26" s="4"/>
      <c r="J26" s="4"/>
      <c r="K26" s="4"/>
      <c r="L26" s="4"/>
      <c r="M26" s="4"/>
      <c r="N26" s="4"/>
      <c r="O26" s="4"/>
      <c r="P26" s="4"/>
      <c r="Q26" s="4"/>
      <c r="R26" s="4"/>
    </row>
    <row r="27" spans="1:18" x14ac:dyDescent="0.35">
      <c r="A27" s="4"/>
      <c r="B27" s="4"/>
      <c r="C27" s="4">
        <f>SUM(C15:C26)</f>
        <v>0</v>
      </c>
      <c r="D27" s="4"/>
      <c r="E27" s="4"/>
      <c r="F27" s="4"/>
      <c r="G27" s="4"/>
      <c r="H27" s="4"/>
      <c r="I27" s="4"/>
      <c r="J27" s="4"/>
      <c r="K27" s="4"/>
      <c r="L27" s="4"/>
      <c r="M27" s="4"/>
      <c r="N27" s="4"/>
      <c r="O27" s="4"/>
      <c r="P27" s="4"/>
      <c r="Q27" s="4"/>
      <c r="R27" s="4"/>
    </row>
    <row r="28" spans="1:18" x14ac:dyDescent="0.35">
      <c r="A28" s="4"/>
      <c r="B28" s="4"/>
      <c r="C28" s="4"/>
      <c r="D28" s="4"/>
      <c r="E28" s="4"/>
      <c r="F28" s="4"/>
      <c r="G28" s="4"/>
      <c r="H28" s="4"/>
      <c r="I28" s="4" t="s">
        <v>73</v>
      </c>
      <c r="J28" s="4"/>
      <c r="K28" s="4"/>
      <c r="L28" s="4"/>
      <c r="M28" s="4"/>
      <c r="N28" s="4"/>
      <c r="O28" s="4"/>
      <c r="P28" s="4"/>
      <c r="Q28" s="4"/>
      <c r="R28" s="4"/>
    </row>
    <row r="29" spans="1:18" x14ac:dyDescent="0.35">
      <c r="A29" s="4"/>
      <c r="B29" s="4"/>
      <c r="C29" s="4"/>
      <c r="D29" s="4"/>
      <c r="E29" s="4"/>
      <c r="F29" s="4"/>
      <c r="G29" s="4"/>
      <c r="H29" s="4"/>
      <c r="I29" s="4"/>
      <c r="J29" s="4"/>
      <c r="K29" s="4"/>
      <c r="L29" s="4"/>
      <c r="M29" s="4"/>
      <c r="N29" s="4"/>
      <c r="O29" s="4"/>
      <c r="P29" s="4"/>
      <c r="Q29" s="4"/>
      <c r="R29" s="4"/>
    </row>
    <row r="30" spans="1:18" x14ac:dyDescent="0.35">
      <c r="A30" s="4"/>
      <c r="B30" s="4"/>
      <c r="C30" s="4"/>
      <c r="D30" s="4"/>
      <c r="E30" s="4"/>
      <c r="F30" s="4"/>
      <c r="G30" s="4"/>
      <c r="H30" s="4"/>
      <c r="I30" s="4"/>
      <c r="J30" s="4"/>
      <c r="K30" s="4"/>
      <c r="L30" s="4"/>
      <c r="M30" s="4"/>
      <c r="N30" s="4"/>
      <c r="O30" s="4"/>
      <c r="P30" s="4"/>
      <c r="Q30" s="4"/>
      <c r="R30" s="4"/>
    </row>
    <row r="31" spans="1:18" x14ac:dyDescent="0.35">
      <c r="A31" s="4"/>
      <c r="B31" s="4"/>
      <c r="C31" s="4"/>
      <c r="D31" s="4"/>
      <c r="E31" s="4"/>
      <c r="F31" s="4"/>
      <c r="G31" s="4"/>
      <c r="H31" s="4"/>
      <c r="I31" s="4"/>
      <c r="J31" s="4"/>
      <c r="K31" s="4"/>
      <c r="L31" s="4"/>
      <c r="M31" s="4"/>
      <c r="N31" s="4"/>
      <c r="O31" s="4"/>
      <c r="P31" s="4"/>
      <c r="Q31" s="4"/>
      <c r="R31" s="4"/>
    </row>
    <row r="32" spans="1:18" x14ac:dyDescent="0.35">
      <c r="A32" s="4"/>
      <c r="B32" s="154" t="s">
        <v>75</v>
      </c>
      <c r="C32" s="155"/>
      <c r="D32" s="155"/>
      <c r="E32" s="155"/>
      <c r="F32" s="155"/>
      <c r="G32" s="155"/>
      <c r="H32" s="155"/>
      <c r="I32" s="155"/>
      <c r="J32" s="155"/>
      <c r="K32" s="155"/>
      <c r="L32" s="4"/>
      <c r="M32" s="4"/>
      <c r="N32" s="4"/>
      <c r="O32" s="4"/>
      <c r="P32" s="4"/>
      <c r="Q32" s="4"/>
      <c r="R32" s="4"/>
    </row>
    <row r="33" spans="1:18" x14ac:dyDescent="0.35">
      <c r="A33" s="4"/>
      <c r="B33" s="11" t="s">
        <v>0</v>
      </c>
      <c r="C33" s="11" t="s">
        <v>58</v>
      </c>
      <c r="D33" s="11"/>
      <c r="E33" s="11" t="s">
        <v>1</v>
      </c>
      <c r="F33" s="12" t="s">
        <v>71</v>
      </c>
      <c r="G33" s="11" t="s">
        <v>2</v>
      </c>
      <c r="H33" s="12" t="s">
        <v>72</v>
      </c>
      <c r="I33" s="11" t="s">
        <v>3</v>
      </c>
      <c r="J33" s="12" t="s">
        <v>74</v>
      </c>
      <c r="K33" s="11" t="s">
        <v>12</v>
      </c>
      <c r="L33" s="4" t="s">
        <v>102</v>
      </c>
      <c r="M33" s="4" t="s">
        <v>103</v>
      </c>
      <c r="N33" s="4"/>
      <c r="O33" s="4"/>
      <c r="P33" s="4"/>
      <c r="Q33" s="4"/>
      <c r="R33" s="4"/>
    </row>
    <row r="34" spans="1:18" x14ac:dyDescent="0.35">
      <c r="A34" s="4"/>
      <c r="B34" s="13" t="s">
        <v>4</v>
      </c>
      <c r="C34" s="1">
        <f>IF(Main!$F$50&lt;250001,Main!$F$50,0)</f>
        <v>0</v>
      </c>
      <c r="D34" s="1">
        <f>IF(Main!$G$50&lt;250001,Main!$G$50,0)</f>
        <v>0</v>
      </c>
      <c r="E34" s="1">
        <v>0</v>
      </c>
      <c r="F34" s="10">
        <f>IF(Main!$C$6="0 to 60 Years",(C34*E34/100),0)</f>
        <v>0</v>
      </c>
      <c r="G34" s="1">
        <v>0</v>
      </c>
      <c r="H34" s="10">
        <f>IF(Main!$C$6="0 to 60 Years",(F34*G34/100),0)</f>
        <v>0</v>
      </c>
      <c r="I34" s="1">
        <v>0</v>
      </c>
      <c r="J34" s="10">
        <f>IF(Main!$C$6="Above 80 Years",(C34*I34/100),0)</f>
        <v>0</v>
      </c>
      <c r="K34" s="1" t="s">
        <v>13</v>
      </c>
      <c r="L34" s="4">
        <v>0</v>
      </c>
      <c r="M34" s="4"/>
      <c r="N34" s="4"/>
      <c r="O34" s="4"/>
      <c r="P34" s="4"/>
      <c r="Q34" s="4"/>
      <c r="R34" s="4"/>
    </row>
    <row r="35" spans="1:18" x14ac:dyDescent="0.35">
      <c r="A35" s="4"/>
      <c r="B35" s="13" t="s">
        <v>5</v>
      </c>
      <c r="C35" s="1">
        <f>IF(AND(Main!$F$50&gt;250000, Main!$F$50&lt;300001),Main!$F$50,0)</f>
        <v>0</v>
      </c>
      <c r="D35" s="1">
        <f>IF(AND(Main!$G$50&gt;250000, Main!$G$50&lt;300001),Main!$G$50,0)</f>
        <v>0</v>
      </c>
      <c r="E35" s="2">
        <v>5</v>
      </c>
      <c r="F35" s="10">
        <f>MAX(IF(Main!$C$6="0 to 60 Years",(C35-250000)*E35/100,0),0)</f>
        <v>0</v>
      </c>
      <c r="G35" s="1">
        <v>0</v>
      </c>
      <c r="H35" s="10">
        <f>MAX(IF(Main!$C$6="60 TO 80 Years",(C35-300000)*G35/100,0),0)</f>
        <v>0</v>
      </c>
      <c r="I35" s="1">
        <v>0</v>
      </c>
      <c r="J35" s="10">
        <f>MAX(IF(Main!$C$6="Above 80 Years",(C35-500000)*I35/100,0),0)</f>
        <v>0</v>
      </c>
      <c r="K35" s="1">
        <v>5</v>
      </c>
      <c r="L35" s="10">
        <f>(D35-250000)*K35/100</f>
        <v>-12500</v>
      </c>
      <c r="M35" s="4"/>
      <c r="N35" s="4"/>
      <c r="O35" s="4"/>
      <c r="P35" s="4"/>
      <c r="Q35" s="4"/>
      <c r="R35" s="4"/>
    </row>
    <row r="36" spans="1:18" x14ac:dyDescent="0.35">
      <c r="A36" s="4"/>
      <c r="B36" s="13" t="s">
        <v>6</v>
      </c>
      <c r="C36" s="1">
        <f>IF(AND(Main!$F$50&gt;300000, Main!$F$50&lt;500001),Main!$F$50,0)</f>
        <v>0</v>
      </c>
      <c r="D36" s="1">
        <f>IF(AND(Main!$G$50&gt;300000, Main!$G$50&lt;500001),Main!$G$50,0)</f>
        <v>0</v>
      </c>
      <c r="E36" s="2">
        <v>5</v>
      </c>
      <c r="F36" s="10">
        <f>MAX(IF(Main!$C$6="0 to 60 Years",(C36-250000)*E36/100,0),0)</f>
        <v>0</v>
      </c>
      <c r="G36" s="2">
        <v>5</v>
      </c>
      <c r="H36" s="10">
        <f>MAX(IF(Main!$C$6="60 TO 80 Years",(C36-300000)*G36/100,0),0)</f>
        <v>0</v>
      </c>
      <c r="I36" s="1">
        <v>0</v>
      </c>
      <c r="J36" s="10">
        <f>MAX(IF(Main!$C$6="Above 80 Years",(C36-500000)*I36/100,0),0)</f>
        <v>0</v>
      </c>
      <c r="K36" s="1">
        <v>5</v>
      </c>
      <c r="L36" s="10">
        <f>(D36-250000)*K36/100</f>
        <v>-12500</v>
      </c>
      <c r="M36" s="4"/>
      <c r="N36" s="4"/>
      <c r="O36" s="4"/>
      <c r="P36" s="4"/>
      <c r="Q36" s="4"/>
      <c r="R36" s="4"/>
    </row>
    <row r="37" spans="1:18" x14ac:dyDescent="0.35">
      <c r="A37" s="4"/>
      <c r="B37" s="13" t="s">
        <v>7</v>
      </c>
      <c r="C37" s="1">
        <f>IF(AND(Main!$F$50&gt;500000, Main!$F$50&lt;750001),Main!$F$50,0)</f>
        <v>0</v>
      </c>
      <c r="D37" s="1">
        <f>IF(AND(Main!$G$50&gt;500000, Main!$G$50&lt;750001),Main!$G$50,0)</f>
        <v>0</v>
      </c>
      <c r="E37" s="2">
        <v>20</v>
      </c>
      <c r="F37" s="10">
        <f>MAX(IF(Main!$C$6="0 to 60 Years",(C37-500000)*E37/100+12500,0),0)</f>
        <v>0</v>
      </c>
      <c r="G37" s="1">
        <v>20</v>
      </c>
      <c r="H37" s="10">
        <f>MAX(IF(Main!$C$6="60 TO 80 Years",(C37-500000)*G37/100+10000,0),0)</f>
        <v>0</v>
      </c>
      <c r="I37" s="1">
        <v>20</v>
      </c>
      <c r="J37" s="10">
        <f>MAX(IF(Main!$C$6="Above 80 Years",(C37-500000)*I37/100,0),0)</f>
        <v>0</v>
      </c>
      <c r="K37" s="1">
        <v>10</v>
      </c>
      <c r="L37" s="10">
        <f>(D37-500000)*K37/100+12500</f>
        <v>-37500</v>
      </c>
      <c r="M37" s="4"/>
      <c r="N37" s="4"/>
      <c r="O37" s="4"/>
      <c r="P37" s="4"/>
      <c r="Q37" s="4"/>
      <c r="R37" s="4"/>
    </row>
    <row r="38" spans="1:18" x14ac:dyDescent="0.35">
      <c r="A38" s="4"/>
      <c r="B38" s="13" t="s">
        <v>8</v>
      </c>
      <c r="C38" s="1">
        <f>IF(AND(Main!$F$50&gt;750000, Main!$F$50&lt;1000001),Main!$F$50,0)</f>
        <v>0</v>
      </c>
      <c r="D38" s="1">
        <f>IF(AND(Main!$G$50&gt;750000, Main!$G$50&lt;1000001),Main!$G$50,0)</f>
        <v>0</v>
      </c>
      <c r="E38" s="2">
        <v>20</v>
      </c>
      <c r="F38" s="10">
        <f>MAX(IF(Main!$C$6="0 to 60 Years",(C38-500000)*E38/100+12500,0),0)</f>
        <v>0</v>
      </c>
      <c r="G38" s="1">
        <v>20</v>
      </c>
      <c r="H38" s="10">
        <f>MAX(IF(Main!$C$6="60 TO 80 Years",(C38-500000)*G38/100+10000,0),0)</f>
        <v>0</v>
      </c>
      <c r="I38" s="1">
        <v>20</v>
      </c>
      <c r="J38" s="10">
        <f>MAX(IF(Main!$C$6="Above 80 Years",(C38-500000)*I38/100,0),0)</f>
        <v>0</v>
      </c>
      <c r="K38" s="1">
        <v>15</v>
      </c>
      <c r="L38" s="10">
        <f>(D38-750000)*K38/100+37500</f>
        <v>-75000</v>
      </c>
      <c r="M38" s="4"/>
      <c r="N38" s="4"/>
      <c r="O38" s="4"/>
      <c r="P38" s="4"/>
      <c r="Q38" s="4"/>
      <c r="R38" s="4"/>
    </row>
    <row r="39" spans="1:18" x14ac:dyDescent="0.35">
      <c r="A39" s="4"/>
      <c r="B39" s="13" t="s">
        <v>9</v>
      </c>
      <c r="C39" s="1">
        <f>IF(AND(Main!$F$50&gt;1000000, Main!$F$50&lt;1250001),Main!$F$50,0)</f>
        <v>0</v>
      </c>
      <c r="D39" s="1">
        <f>IF(AND(Main!$G$50&gt;1000000, Main!$G$50&lt;1250001),Main!$G$50,0)</f>
        <v>0</v>
      </c>
      <c r="E39" s="2">
        <v>30</v>
      </c>
      <c r="F39" s="10">
        <f>MAX(IF(Main!$C$6="0 to 60 Years",(C39-1000000)*E39/100+112500,0),0)</f>
        <v>0</v>
      </c>
      <c r="G39" s="1">
        <v>30</v>
      </c>
      <c r="H39" s="10">
        <f>MAX(IF(Main!$C$6="60 TO 80 Years",(C39-1000000)*G39/100+110000,0),0)</f>
        <v>0</v>
      </c>
      <c r="I39" s="1">
        <v>30</v>
      </c>
      <c r="J39" s="10">
        <f>MAX(IF(Main!$C$6="Above 80 Years",(C39-1000000)*I39/100+100000,0),0)</f>
        <v>0</v>
      </c>
      <c r="K39" s="1">
        <v>20</v>
      </c>
      <c r="L39" s="10">
        <f>(D39-1000000)*K39/100+75000</f>
        <v>-125000</v>
      </c>
      <c r="M39" s="4"/>
      <c r="N39" s="4"/>
      <c r="O39" s="4"/>
      <c r="P39" s="4"/>
      <c r="Q39" s="4"/>
      <c r="R39" s="4"/>
    </row>
    <row r="40" spans="1:18" x14ac:dyDescent="0.35">
      <c r="A40" s="4"/>
      <c r="B40" s="13" t="s">
        <v>10</v>
      </c>
      <c r="C40" s="1">
        <f>IF(AND(Main!$F$50&gt;1250000, Main!$F$50&lt;1500001),Main!$F$50,0)</f>
        <v>0</v>
      </c>
      <c r="D40" s="1">
        <f>IF(AND(Main!$G$50&gt;1250000, Main!$G$50&lt;1500001),Main!$G$50,0)</f>
        <v>0</v>
      </c>
      <c r="E40" s="2">
        <v>30</v>
      </c>
      <c r="F40" s="10">
        <f>MAX(IF(Main!$C$6="0 to 60 Years",(C40-1000000)*E40/100+112500,0),0)</f>
        <v>0</v>
      </c>
      <c r="G40" s="1">
        <v>30</v>
      </c>
      <c r="H40" s="10">
        <f>MAX(IF(Main!$C$6="60 TO 80 Years",(C40-1000000)*G40/100+110000,0),0)</f>
        <v>0</v>
      </c>
      <c r="I40" s="1">
        <v>30</v>
      </c>
      <c r="J40" s="10">
        <f>MAX(IF(Main!$C$6="Above 80 Years",(C40-1000000)*I40/100+100000,0),0)</f>
        <v>0</v>
      </c>
      <c r="K40" s="1">
        <v>25</v>
      </c>
      <c r="L40" s="10">
        <f>(D40-1250000)*K40/100+125000</f>
        <v>-187500</v>
      </c>
      <c r="M40" s="4"/>
      <c r="N40" s="4"/>
      <c r="O40" s="4"/>
      <c r="P40" s="4"/>
      <c r="Q40" s="4"/>
      <c r="R40" s="4"/>
    </row>
    <row r="41" spans="1:18" x14ac:dyDescent="0.35">
      <c r="A41" s="4"/>
      <c r="B41" s="13" t="s">
        <v>11</v>
      </c>
      <c r="C41" s="1">
        <f>IF(Main!$F$50&gt;1500001,Main!$F$50,0)</f>
        <v>0</v>
      </c>
      <c r="D41" s="1">
        <f>IF(Main!$G$50&gt;1500001,Main!$G$50,0)</f>
        <v>0</v>
      </c>
      <c r="E41" s="2">
        <v>30</v>
      </c>
      <c r="F41" s="10">
        <f>MAX(IF(Main!$C$6="0 to 60 Years",(C41-1000000)*E41/100+112500,0),0)</f>
        <v>0</v>
      </c>
      <c r="G41" s="1">
        <v>30</v>
      </c>
      <c r="H41" s="10">
        <f>MAX(IF(Main!$C$6="60 TO 80 Years",(C41-1000000)*G41/100+110000,0),0)</f>
        <v>0</v>
      </c>
      <c r="I41" s="1">
        <v>30</v>
      </c>
      <c r="J41" s="10">
        <f>MAX(IF(Main!$C$6="Above 80 Years",(C41-1000000)*I41/100+100000,0),0)</f>
        <v>0</v>
      </c>
      <c r="K41" s="1">
        <v>30</v>
      </c>
      <c r="L41" s="10">
        <f>(D41-1500000)*K41/100+187500</f>
        <v>-262500</v>
      </c>
      <c r="M41" s="4"/>
      <c r="N41" s="4"/>
      <c r="O41" s="4"/>
      <c r="P41" s="4"/>
      <c r="Q41" s="4"/>
      <c r="R41" s="4"/>
    </row>
    <row r="42" spans="1:18" x14ac:dyDescent="0.35">
      <c r="A42" s="4"/>
      <c r="B42" s="4"/>
      <c r="C42" s="4"/>
      <c r="D42" s="4"/>
      <c r="E42" s="4"/>
      <c r="F42" s="4">
        <f>F41*15/100</f>
        <v>0</v>
      </c>
      <c r="G42" s="4"/>
      <c r="H42" s="4" t="s">
        <v>98</v>
      </c>
      <c r="I42" s="4" t="s">
        <v>99</v>
      </c>
      <c r="J42" s="4"/>
      <c r="K42" s="4"/>
      <c r="L42" s="4"/>
      <c r="M42" s="4"/>
      <c r="N42" s="4"/>
      <c r="O42" s="4"/>
      <c r="P42" s="4"/>
      <c r="Q42" s="4"/>
      <c r="R42" s="4"/>
    </row>
    <row r="43" spans="1:18" x14ac:dyDescent="0.35">
      <c r="A43" s="4"/>
      <c r="B43" s="4"/>
      <c r="C43" s="4"/>
      <c r="D43" s="4"/>
      <c r="E43" s="4"/>
      <c r="F43" s="4">
        <f>(F41+F42)*4/100</f>
        <v>0</v>
      </c>
      <c r="G43" s="4"/>
      <c r="H43" s="60">
        <f>IF(MAX(Data!$E$34:$J$41)&lt;31,0,MAX(Data!$E$34:$J$41))</f>
        <v>0</v>
      </c>
      <c r="I43" s="60">
        <f>MAX($L$34:$L$41)</f>
        <v>0</v>
      </c>
      <c r="J43" s="4"/>
      <c r="K43" s="4"/>
      <c r="L43" s="4"/>
      <c r="M43" s="4"/>
      <c r="N43" s="4"/>
      <c r="O43" s="4"/>
      <c r="P43" s="4"/>
      <c r="Q43" s="4"/>
      <c r="R43" s="4"/>
    </row>
    <row r="44" spans="1:18" x14ac:dyDescent="0.35">
      <c r="A44" s="4"/>
      <c r="B44" s="4"/>
      <c r="C44" s="4"/>
      <c r="D44" s="4"/>
      <c r="E44" s="4"/>
      <c r="F44" s="4">
        <f>SUM(F41:F43)</f>
        <v>0</v>
      </c>
      <c r="G44" s="4"/>
      <c r="H44" s="60">
        <f>IF(Main!$F$45&lt;500000,0,H43)</f>
        <v>0</v>
      </c>
      <c r="I44" s="60">
        <f>IF(Main!$F$45&lt;500000,0,I43)</f>
        <v>0</v>
      </c>
      <c r="J44" s="4"/>
      <c r="K44" s="18"/>
      <c r="L44" s="4"/>
      <c r="M44" s="4"/>
      <c r="N44" s="4"/>
      <c r="O44" s="4"/>
      <c r="P44" s="4"/>
      <c r="Q44" s="4"/>
      <c r="R44" s="4"/>
    </row>
    <row r="45" spans="1:18" x14ac:dyDescent="0.35">
      <c r="A45" s="4"/>
      <c r="B45" s="4"/>
      <c r="C45" s="4"/>
      <c r="D45" s="4"/>
      <c r="E45" s="4"/>
      <c r="F45" s="4"/>
      <c r="G45" s="4"/>
      <c r="H45" s="4"/>
      <c r="I45" s="4"/>
      <c r="J45" s="4"/>
      <c r="K45" s="4"/>
      <c r="L45" s="4"/>
      <c r="M45" s="4"/>
      <c r="N45" s="4"/>
      <c r="O45" s="4"/>
      <c r="P45" s="4"/>
      <c r="Q45" s="4"/>
      <c r="R45" s="4"/>
    </row>
    <row r="46" spans="1:18" x14ac:dyDescent="0.35">
      <c r="A46" s="4"/>
      <c r="B46" s="61" t="s">
        <v>114</v>
      </c>
      <c r="C46" s="62"/>
      <c r="D46" s="62"/>
      <c r="E46" s="4"/>
      <c r="F46" s="4"/>
      <c r="G46" s="4"/>
      <c r="H46" s="4"/>
      <c r="I46" s="4"/>
      <c r="J46" s="4"/>
      <c r="K46" s="4"/>
      <c r="L46" s="4"/>
      <c r="M46" s="4"/>
      <c r="N46" s="4"/>
      <c r="O46" s="4"/>
      <c r="P46" s="4"/>
      <c r="Q46" s="4"/>
      <c r="R46" s="4"/>
    </row>
    <row r="47" spans="1:18" ht="18" x14ac:dyDescent="0.4">
      <c r="A47" s="4"/>
      <c r="B47" s="145" t="s">
        <v>76</v>
      </c>
      <c r="C47" s="147" t="s">
        <v>77</v>
      </c>
      <c r="D47" s="147"/>
      <c r="E47" s="147"/>
      <c r="F47" s="147"/>
      <c r="G47" s="147"/>
      <c r="H47" s="147" t="s">
        <v>78</v>
      </c>
      <c r="I47" s="147"/>
      <c r="J47" s="147"/>
      <c r="K47" s="148" t="s">
        <v>79</v>
      </c>
      <c r="L47" s="149"/>
      <c r="M47" s="150"/>
      <c r="N47" s="151" t="s">
        <v>80</v>
      </c>
      <c r="O47" s="152"/>
      <c r="P47" s="153"/>
      <c r="Q47" s="4"/>
      <c r="R47" s="4"/>
    </row>
    <row r="48" spans="1:18" x14ac:dyDescent="0.35">
      <c r="A48" s="4"/>
      <c r="B48" s="146"/>
      <c r="C48" s="14" t="s">
        <v>21</v>
      </c>
      <c r="D48" s="14"/>
      <c r="E48" s="14"/>
      <c r="F48" s="14" t="s">
        <v>22</v>
      </c>
      <c r="G48" s="15" t="s">
        <v>3</v>
      </c>
      <c r="H48" s="16" t="s">
        <v>21</v>
      </c>
      <c r="I48" s="16" t="s">
        <v>22</v>
      </c>
      <c r="J48" s="15" t="s">
        <v>3</v>
      </c>
      <c r="K48" s="16" t="s">
        <v>21</v>
      </c>
      <c r="L48" s="16" t="s">
        <v>22</v>
      </c>
      <c r="M48" s="15" t="s">
        <v>3</v>
      </c>
      <c r="N48" s="16" t="s">
        <v>21</v>
      </c>
      <c r="O48" s="16" t="s">
        <v>22</v>
      </c>
      <c r="P48" s="15" t="s">
        <v>3</v>
      </c>
      <c r="Q48" s="4"/>
      <c r="R48" s="4"/>
    </row>
    <row r="49" spans="1:18" x14ac:dyDescent="0.35">
      <c r="A49" s="4"/>
      <c r="B49" s="17" t="s">
        <v>81</v>
      </c>
      <c r="C49" s="18">
        <f>IF(Main!$C$6="0 to 60 Years",IF(AND((Main!$F$50&gt;5000000),(Main!$F$50&lt;=10000000)),Main!$F$50,0),0)</f>
        <v>0</v>
      </c>
      <c r="D49" s="18">
        <v>0</v>
      </c>
      <c r="E49" s="18">
        <v>0</v>
      </c>
      <c r="F49" s="18">
        <f>IF(Main!$C$6="60 to 80 Years",IF(AND((Main!$F$50&gt;5000000),(Main!$F$50&lt;=10000000)),Main!$F$50,0),0)</f>
        <v>0</v>
      </c>
      <c r="G49" s="18">
        <f>IF(Main!$C$6="Above 80 Years",IF(AND((Main!$F$50&gt;5000000),(Main!$F$50&lt;=10000000)),Main!$F$50,0),0)</f>
        <v>0</v>
      </c>
      <c r="H49" s="18">
        <f>IF(Main!$C$6="0 to 60 Years",IF(AND((Main!$F$50&gt;10000000),(Main!$F$50&lt;=20000000)),Main!$F$50,0),0)</f>
        <v>0</v>
      </c>
      <c r="I49" s="18">
        <f>IF(Main!$C$6="60 to 80 Years",IF(AND((Main!$F$50&gt;10000000),(Main!$F$50&lt;=20000000)),Main!$F$50,0),0)</f>
        <v>0</v>
      </c>
      <c r="J49" s="18">
        <f>IF(Main!$C$6="Above 80 Years",IF(AND((Main!$F$50&gt;10000000),(Main!$F$50&lt;=20000000)),Main!$F$50,0),0)</f>
        <v>0</v>
      </c>
      <c r="K49" s="18">
        <f>IF(Main!$C$6="0 to 60 Years",IF(AND((Main!$F$50&gt;20000000),(Main!$F$50&lt;=50000000)),Main!$F$50,0),0)</f>
        <v>0</v>
      </c>
      <c r="L49" s="18">
        <f>IF(Main!$C$6="60 to 80 Years",IF(AND((Main!$F$50&gt;20000000),(Main!$F$50&lt;=50000000)),Main!$F$50,0),0)</f>
        <v>0</v>
      </c>
      <c r="M49" s="18">
        <f>IF(Main!$C$6="Above 80 Years",IF(AND((Main!$F$50&gt;20000000),(Main!$F$50&lt;=50000000)),Main!$F$50,0),0)</f>
        <v>0</v>
      </c>
      <c r="N49" s="19">
        <f>IF(Main!$C$6="0 to 60 Years",IF(AND((Main!$F$50&gt;50000000)),Main!$F$50,0),0)</f>
        <v>0</v>
      </c>
      <c r="O49" s="19">
        <f>IF(Main!$C$6="60 to 80 Years",IF(AND((Main!$F$50&gt;50000000)),Main!$F$50,0),0)</f>
        <v>0</v>
      </c>
      <c r="P49" s="19">
        <f>IF(Main!$C$6="Above 80 Years",IF(AND((Main!$F$50&gt;50000000)),Main!$F$50,0),0)</f>
        <v>0</v>
      </c>
      <c r="Q49" s="4"/>
      <c r="R49" s="4"/>
    </row>
    <row r="50" spans="1:18" x14ac:dyDescent="0.35">
      <c r="A50" s="4"/>
      <c r="B50" s="20" t="s">
        <v>82</v>
      </c>
      <c r="C50" s="21">
        <f>IF(C49=0,0,1312500)</f>
        <v>0</v>
      </c>
      <c r="D50" s="18">
        <v>0</v>
      </c>
      <c r="E50" s="18">
        <v>0</v>
      </c>
      <c r="F50" s="22">
        <f>IF(F49=0,0,1310000)</f>
        <v>0</v>
      </c>
      <c r="G50" s="22">
        <f>IF(G49=0,0,1300000)</f>
        <v>0</v>
      </c>
      <c r="H50" s="23">
        <f>IF(H49=0,0,2812500)</f>
        <v>0</v>
      </c>
      <c r="I50" s="23">
        <f>IF(I49=0,0,2812500)</f>
        <v>0</v>
      </c>
      <c r="J50" s="23">
        <f>IF(J49=0,0,2800000)</f>
        <v>0</v>
      </c>
      <c r="K50" s="24">
        <f>IF(K49=0,0,5812500)</f>
        <v>0</v>
      </c>
      <c r="L50" s="24">
        <f>IF(L49=0,0,5810000)</f>
        <v>0</v>
      </c>
      <c r="M50" s="24">
        <f>IF(M49=0,0,5800000)</f>
        <v>0</v>
      </c>
      <c r="N50" s="19">
        <f>IF(N49=0,0,14812500)</f>
        <v>0</v>
      </c>
      <c r="O50" s="19">
        <f>IF(O49=0,0,14810000)</f>
        <v>0</v>
      </c>
      <c r="P50" s="19">
        <f>IF(P49=0,0,14800000)</f>
        <v>0</v>
      </c>
      <c r="Q50" s="4"/>
      <c r="R50" s="4"/>
    </row>
    <row r="51" spans="1:18" x14ac:dyDescent="0.35">
      <c r="A51" s="4"/>
      <c r="B51" s="20" t="s">
        <v>83</v>
      </c>
      <c r="C51" s="21">
        <f>MAX(0,C49-5000000)</f>
        <v>0</v>
      </c>
      <c r="D51" s="18">
        <v>0</v>
      </c>
      <c r="E51" s="18">
        <v>0</v>
      </c>
      <c r="F51" s="25">
        <f>MAX(0,F49-5000000)</f>
        <v>0</v>
      </c>
      <c r="G51" s="25">
        <f>MAX(0,G49-5000000)</f>
        <v>0</v>
      </c>
      <c r="H51" s="23">
        <f>MAX(0,H49-10000000)</f>
        <v>0</v>
      </c>
      <c r="I51" s="23">
        <f>MAX(0,I49-10000000)</f>
        <v>0</v>
      </c>
      <c r="J51" s="23">
        <f>MAX(0,J49-10000000)</f>
        <v>0</v>
      </c>
      <c r="K51" s="24">
        <f>MAX(0,K49-20000000)</f>
        <v>0</v>
      </c>
      <c r="L51" s="24">
        <f>MAX(0,L49-20000000)</f>
        <v>0</v>
      </c>
      <c r="M51" s="24">
        <f>MAX(0,M49-20000000)</f>
        <v>0</v>
      </c>
      <c r="N51" s="19">
        <f>MAX(0,N49-50000000)</f>
        <v>0</v>
      </c>
      <c r="O51" s="19">
        <f>MAX(0,O49-50000000)</f>
        <v>0</v>
      </c>
      <c r="P51" s="19">
        <f>MAX(0,P49-50000000)</f>
        <v>0</v>
      </c>
      <c r="Q51" s="4"/>
      <c r="R51" s="4"/>
    </row>
    <row r="52" spans="1:18" x14ac:dyDescent="0.35">
      <c r="A52" s="4"/>
      <c r="B52" s="20" t="s">
        <v>84</v>
      </c>
      <c r="C52" s="21">
        <f>(C51*30%)</f>
        <v>0</v>
      </c>
      <c r="D52" s="18">
        <v>0</v>
      </c>
      <c r="E52" s="18">
        <v>0</v>
      </c>
      <c r="F52" s="25">
        <f t="shared" ref="F52:P52" si="0">(F51*30%)</f>
        <v>0</v>
      </c>
      <c r="G52" s="25">
        <f t="shared" si="0"/>
        <v>0</v>
      </c>
      <c r="H52" s="23">
        <f t="shared" si="0"/>
        <v>0</v>
      </c>
      <c r="I52" s="23">
        <f t="shared" si="0"/>
        <v>0</v>
      </c>
      <c r="J52" s="23">
        <f t="shared" si="0"/>
        <v>0</v>
      </c>
      <c r="K52" s="24">
        <f t="shared" si="0"/>
        <v>0</v>
      </c>
      <c r="L52" s="24">
        <f t="shared" si="0"/>
        <v>0</v>
      </c>
      <c r="M52" s="24">
        <f t="shared" si="0"/>
        <v>0</v>
      </c>
      <c r="N52" s="19">
        <f>(N51*30%)</f>
        <v>0</v>
      </c>
      <c r="O52" s="19">
        <f t="shared" si="0"/>
        <v>0</v>
      </c>
      <c r="P52" s="19">
        <f t="shared" si="0"/>
        <v>0</v>
      </c>
      <c r="Q52" s="4"/>
      <c r="R52" s="4"/>
    </row>
    <row r="53" spans="1:18" x14ac:dyDescent="0.35">
      <c r="A53" s="4"/>
      <c r="B53" s="26" t="s">
        <v>85</v>
      </c>
      <c r="C53" s="27">
        <f>(C50+C52)</f>
        <v>0</v>
      </c>
      <c r="D53" s="18">
        <v>0</v>
      </c>
      <c r="E53" s="18">
        <v>0</v>
      </c>
      <c r="F53" s="28">
        <f t="shared" ref="F53:P53" si="1">(F50+F52)</f>
        <v>0</v>
      </c>
      <c r="G53" s="28">
        <f t="shared" si="1"/>
        <v>0</v>
      </c>
      <c r="H53" s="29">
        <f t="shared" si="1"/>
        <v>0</v>
      </c>
      <c r="I53" s="29">
        <f t="shared" si="1"/>
        <v>0</v>
      </c>
      <c r="J53" s="29">
        <f t="shared" si="1"/>
        <v>0</v>
      </c>
      <c r="K53" s="30">
        <f t="shared" si="1"/>
        <v>0</v>
      </c>
      <c r="L53" s="30">
        <f t="shared" si="1"/>
        <v>0</v>
      </c>
      <c r="M53" s="30">
        <f t="shared" si="1"/>
        <v>0</v>
      </c>
      <c r="N53" s="31">
        <f>(N50+N52)</f>
        <v>0</v>
      </c>
      <c r="O53" s="31">
        <f t="shared" si="1"/>
        <v>0</v>
      </c>
      <c r="P53" s="31">
        <f t="shared" si="1"/>
        <v>0</v>
      </c>
      <c r="Q53" s="4"/>
      <c r="R53" s="4"/>
    </row>
    <row r="54" spans="1:18" x14ac:dyDescent="0.35">
      <c r="A54" s="4"/>
      <c r="B54" s="32" t="s">
        <v>86</v>
      </c>
      <c r="C54" s="33">
        <f>IF(C63&gt;0,(C60-C63), C60)</f>
        <v>0</v>
      </c>
      <c r="D54" s="18">
        <v>0</v>
      </c>
      <c r="E54" s="18">
        <v>0</v>
      </c>
      <c r="F54" s="34">
        <f t="shared" ref="F54:P54" si="2">IF(F63&gt;0,(F60-F63), F60)</f>
        <v>0</v>
      </c>
      <c r="G54" s="34">
        <f t="shared" si="2"/>
        <v>0</v>
      </c>
      <c r="H54" s="35">
        <f t="shared" si="2"/>
        <v>0</v>
      </c>
      <c r="I54" s="35">
        <f t="shared" si="2"/>
        <v>0</v>
      </c>
      <c r="J54" s="35">
        <f t="shared" si="2"/>
        <v>0</v>
      </c>
      <c r="K54" s="36">
        <f t="shared" si="2"/>
        <v>0</v>
      </c>
      <c r="L54" s="36">
        <f t="shared" si="2"/>
        <v>0</v>
      </c>
      <c r="M54" s="36">
        <f t="shared" si="2"/>
        <v>0</v>
      </c>
      <c r="N54" s="37">
        <f>IF(N63&gt;0,(N60-N63), N60)</f>
        <v>0</v>
      </c>
      <c r="O54" s="37">
        <f t="shared" si="2"/>
        <v>0</v>
      </c>
      <c r="P54" s="37">
        <f t="shared" si="2"/>
        <v>0</v>
      </c>
      <c r="Q54" s="4"/>
      <c r="R54" s="4"/>
    </row>
    <row r="55" spans="1:18" x14ac:dyDescent="0.35">
      <c r="A55" s="4"/>
      <c r="B55" s="38" t="s">
        <v>87</v>
      </c>
      <c r="C55" s="39">
        <f>(C53+C54)</f>
        <v>0</v>
      </c>
      <c r="D55" s="18">
        <v>0</v>
      </c>
      <c r="E55" s="18">
        <v>0</v>
      </c>
      <c r="F55" s="40">
        <f t="shared" ref="F55:P55" si="3">(F53+F54)</f>
        <v>0</v>
      </c>
      <c r="G55" s="40">
        <f t="shared" si="3"/>
        <v>0</v>
      </c>
      <c r="H55" s="41">
        <f t="shared" si="3"/>
        <v>0</v>
      </c>
      <c r="I55" s="41">
        <f t="shared" si="3"/>
        <v>0</v>
      </c>
      <c r="J55" s="41">
        <f t="shared" si="3"/>
        <v>0</v>
      </c>
      <c r="K55" s="42">
        <f t="shared" si="3"/>
        <v>0</v>
      </c>
      <c r="L55" s="42">
        <f t="shared" si="3"/>
        <v>0</v>
      </c>
      <c r="M55" s="42">
        <f t="shared" si="3"/>
        <v>0</v>
      </c>
      <c r="N55" s="43">
        <f>(N53+N54)</f>
        <v>0</v>
      </c>
      <c r="O55" s="43">
        <f t="shared" si="3"/>
        <v>0</v>
      </c>
      <c r="P55" s="43">
        <f t="shared" si="3"/>
        <v>0</v>
      </c>
      <c r="Q55" s="4"/>
      <c r="R55" s="4"/>
    </row>
    <row r="56" spans="1:18" x14ac:dyDescent="0.35">
      <c r="A56" s="4"/>
      <c r="B56" s="32" t="s">
        <v>88</v>
      </c>
      <c r="C56" s="44">
        <f>(C55*4%)</f>
        <v>0</v>
      </c>
      <c r="D56" s="18">
        <v>0</v>
      </c>
      <c r="E56" s="18">
        <v>0</v>
      </c>
      <c r="F56" s="45">
        <f t="shared" ref="F56:P56" si="4">(F55*4%)</f>
        <v>0</v>
      </c>
      <c r="G56" s="45">
        <f t="shared" si="4"/>
        <v>0</v>
      </c>
      <c r="H56" s="46">
        <f t="shared" si="4"/>
        <v>0</v>
      </c>
      <c r="I56" s="46">
        <f t="shared" si="4"/>
        <v>0</v>
      </c>
      <c r="J56" s="46">
        <f t="shared" si="4"/>
        <v>0</v>
      </c>
      <c r="K56" s="47">
        <f t="shared" si="4"/>
        <v>0</v>
      </c>
      <c r="L56" s="47">
        <f t="shared" si="4"/>
        <v>0</v>
      </c>
      <c r="M56" s="47">
        <f t="shared" si="4"/>
        <v>0</v>
      </c>
      <c r="N56" s="48">
        <f t="shared" si="4"/>
        <v>0</v>
      </c>
      <c r="O56" s="48">
        <f t="shared" si="4"/>
        <v>0</v>
      </c>
      <c r="P56" s="48">
        <f t="shared" si="4"/>
        <v>0</v>
      </c>
      <c r="Q56" s="4"/>
      <c r="R56" s="4"/>
    </row>
    <row r="57" spans="1:18" ht="15.5" x14ac:dyDescent="0.35">
      <c r="A57" s="4"/>
      <c r="B57" s="49" t="s">
        <v>85</v>
      </c>
      <c r="C57" s="50">
        <f>(C55+C56)</f>
        <v>0</v>
      </c>
      <c r="D57" s="51"/>
      <c r="E57" s="51"/>
      <c r="F57" s="52">
        <f t="shared" ref="F57:P57" si="5">(F55+F56)</f>
        <v>0</v>
      </c>
      <c r="G57" s="52">
        <f t="shared" si="5"/>
        <v>0</v>
      </c>
      <c r="H57" s="53">
        <f t="shared" si="5"/>
        <v>0</v>
      </c>
      <c r="I57" s="53">
        <f t="shared" si="5"/>
        <v>0</v>
      </c>
      <c r="J57" s="53">
        <f t="shared" si="5"/>
        <v>0</v>
      </c>
      <c r="K57" s="54">
        <f t="shared" si="5"/>
        <v>0</v>
      </c>
      <c r="L57" s="54">
        <f t="shared" si="5"/>
        <v>0</v>
      </c>
      <c r="M57" s="54">
        <f t="shared" si="5"/>
        <v>0</v>
      </c>
      <c r="N57" s="54">
        <f t="shared" si="5"/>
        <v>0</v>
      </c>
      <c r="O57" s="54">
        <f t="shared" si="5"/>
        <v>0</v>
      </c>
      <c r="P57" s="54">
        <f t="shared" si="5"/>
        <v>0</v>
      </c>
      <c r="Q57" s="4"/>
      <c r="R57" s="4"/>
    </row>
    <row r="58" spans="1:18" ht="18" customHeight="1" x14ac:dyDescent="0.35">
      <c r="A58" s="4"/>
      <c r="B58" s="4" t="s">
        <v>0</v>
      </c>
      <c r="C58" s="4" t="str">
        <f>IF(C49&gt;=5000000, "50 Lakh", "")</f>
        <v/>
      </c>
      <c r="D58" s="4"/>
      <c r="E58" s="4"/>
      <c r="F58" s="4" t="str">
        <f>IF(F49&gt;=5000000, "50 Lakh", "")</f>
        <v/>
      </c>
      <c r="G58" s="4" t="str">
        <f>IF(G49&gt;=5000000, "50 Lakh", "")</f>
        <v/>
      </c>
      <c r="H58" s="4" t="str">
        <f>IF(H49&gt;=10000000, "1 Crore", "")</f>
        <v/>
      </c>
      <c r="I58" s="4" t="str">
        <f>IF(I49&gt;=10000000, "1 Crore", "")</f>
        <v/>
      </c>
      <c r="J58" s="4" t="str">
        <f>IF(J49&gt;=10000000, "1 Crore", "")</f>
        <v/>
      </c>
      <c r="K58" s="4" t="str">
        <f>IF(K49&gt;=20000000, "2 Crore", "")</f>
        <v/>
      </c>
      <c r="L58" s="4" t="str">
        <f>IF(L49&gt;=20000000, "2 Crore", "")</f>
        <v/>
      </c>
      <c r="M58" s="4" t="str">
        <f>IF(M49&gt;=20000000, "2 Crore", "")</f>
        <v/>
      </c>
      <c r="N58" s="4" t="str">
        <f>IF(N49&gt;=50000000, "5 Crore", "")</f>
        <v/>
      </c>
      <c r="O58" s="4" t="str">
        <f>IF(O49&gt;=50000000, "5 Crore", "")</f>
        <v/>
      </c>
      <c r="P58" s="4" t="str">
        <f>IF(P49&gt;=50000000, "5 Crore", "")</f>
        <v/>
      </c>
      <c r="Q58" s="4"/>
      <c r="R58" s="4"/>
    </row>
    <row r="59" spans="1:18" ht="24.65" customHeight="1" x14ac:dyDescent="0.35">
      <c r="A59" s="4"/>
      <c r="B59" s="3" t="s">
        <v>89</v>
      </c>
      <c r="C59" s="4"/>
      <c r="D59" s="4"/>
      <c r="E59" s="4"/>
      <c r="F59" s="4"/>
      <c r="G59" s="4"/>
      <c r="H59" s="4"/>
      <c r="I59" s="4"/>
      <c r="J59" s="4"/>
      <c r="K59" s="4"/>
      <c r="L59" s="4"/>
      <c r="M59" s="4"/>
      <c r="N59" s="4"/>
      <c r="O59" s="4"/>
      <c r="P59" s="4"/>
      <c r="Q59" s="4"/>
      <c r="R59" s="4"/>
    </row>
    <row r="60" spans="1:18" x14ac:dyDescent="0.35">
      <c r="A60" s="4"/>
      <c r="B60" s="55" t="s">
        <v>90</v>
      </c>
      <c r="C60" s="56">
        <f>(C53*10%)</f>
        <v>0</v>
      </c>
      <c r="D60" s="56">
        <v>0</v>
      </c>
      <c r="E60" s="56">
        <v>0</v>
      </c>
      <c r="F60" s="55">
        <f>(F53*10%)</f>
        <v>0</v>
      </c>
      <c r="G60" s="55">
        <f>(G53*10%)</f>
        <v>0</v>
      </c>
      <c r="H60" s="55">
        <f>(H53*15%)</f>
        <v>0</v>
      </c>
      <c r="I60" s="55">
        <f>(I53*15%)</f>
        <v>0</v>
      </c>
      <c r="J60" s="55">
        <f>(J53*15%)</f>
        <v>0</v>
      </c>
      <c r="K60" s="55">
        <f>(K53*25%)</f>
        <v>0</v>
      </c>
      <c r="L60" s="55">
        <f>(L53*25%)</f>
        <v>0</v>
      </c>
      <c r="M60" s="55">
        <f>(M53*25%)</f>
        <v>0</v>
      </c>
      <c r="N60" s="57">
        <f>(N53*37%)</f>
        <v>0</v>
      </c>
      <c r="O60" s="57">
        <f>(O53*37%)</f>
        <v>0</v>
      </c>
      <c r="P60" s="57">
        <f>(P53*37%)</f>
        <v>0</v>
      </c>
      <c r="Q60" s="4"/>
      <c r="R60" s="4"/>
    </row>
    <row r="61" spans="1:18" x14ac:dyDescent="0.35">
      <c r="A61" s="4"/>
      <c r="B61" s="4" t="s">
        <v>91</v>
      </c>
      <c r="C61" s="58">
        <f>(C53+C60)</f>
        <v>0</v>
      </c>
      <c r="D61" s="58">
        <v>0</v>
      </c>
      <c r="E61" s="58">
        <v>0</v>
      </c>
      <c r="F61" s="4">
        <f t="shared" ref="F61:P61" si="6">(F53+F60)</f>
        <v>0</v>
      </c>
      <c r="G61" s="4">
        <f t="shared" si="6"/>
        <v>0</v>
      </c>
      <c r="H61" s="59">
        <f t="shared" si="6"/>
        <v>0</v>
      </c>
      <c r="I61" s="59">
        <f t="shared" si="6"/>
        <v>0</v>
      </c>
      <c r="J61" s="59">
        <f t="shared" si="6"/>
        <v>0</v>
      </c>
      <c r="K61" s="59">
        <f t="shared" si="6"/>
        <v>0</v>
      </c>
      <c r="L61" s="59">
        <f t="shared" si="6"/>
        <v>0</v>
      </c>
      <c r="M61" s="59">
        <f t="shared" si="6"/>
        <v>0</v>
      </c>
      <c r="N61" s="59">
        <f t="shared" si="6"/>
        <v>0</v>
      </c>
      <c r="O61" s="59">
        <f t="shared" si="6"/>
        <v>0</v>
      </c>
      <c r="P61" s="59">
        <f t="shared" si="6"/>
        <v>0</v>
      </c>
      <c r="Q61" s="4"/>
      <c r="R61" s="4"/>
    </row>
    <row r="62" spans="1:18" x14ac:dyDescent="0.35">
      <c r="A62" s="4"/>
      <c r="B62" s="4" t="s">
        <v>92</v>
      </c>
      <c r="C62" s="58">
        <f>(C61-C50)</f>
        <v>0</v>
      </c>
      <c r="D62" s="58">
        <v>0</v>
      </c>
      <c r="E62" s="58">
        <v>0</v>
      </c>
      <c r="F62" s="59">
        <f>(F61-F50)</f>
        <v>0</v>
      </c>
      <c r="G62" s="59">
        <f>(G61-G50)</f>
        <v>0</v>
      </c>
      <c r="H62" s="59">
        <f>(H61-3093750)</f>
        <v>-3093750</v>
      </c>
      <c r="I62" s="59">
        <f>(I61-3093750)</f>
        <v>-3093750</v>
      </c>
      <c r="J62" s="59">
        <f>(J61-3093750)</f>
        <v>-3093750</v>
      </c>
      <c r="K62" s="59">
        <f>(K61-6684375)</f>
        <v>-6684375</v>
      </c>
      <c r="L62" s="59">
        <f>(L61-6684375)</f>
        <v>-6684375</v>
      </c>
      <c r="M62" s="59">
        <f>(M61-6684375)</f>
        <v>-6684375</v>
      </c>
      <c r="N62" s="59">
        <f>(N61-18515625)</f>
        <v>-18515625</v>
      </c>
      <c r="O62" s="59">
        <f>(O61-18515625)</f>
        <v>-18515625</v>
      </c>
      <c r="P62" s="59">
        <f>(P61-18515625)</f>
        <v>-18515625</v>
      </c>
      <c r="Q62" s="4"/>
      <c r="R62" s="4"/>
    </row>
    <row r="63" spans="1:18" x14ac:dyDescent="0.35">
      <c r="A63" s="4"/>
      <c r="B63" s="4" t="s">
        <v>93</v>
      </c>
      <c r="C63" s="58">
        <f>(C62-C51)</f>
        <v>0</v>
      </c>
      <c r="D63" s="58">
        <v>0</v>
      </c>
      <c r="E63" s="58">
        <v>0</v>
      </c>
      <c r="F63" s="59">
        <f>(F62-F51)</f>
        <v>0</v>
      </c>
      <c r="G63" s="59">
        <f>(G62-G51)</f>
        <v>0</v>
      </c>
      <c r="H63" s="59">
        <f t="shared" ref="H63:P63" si="7">(H62-H51)</f>
        <v>-3093750</v>
      </c>
      <c r="I63" s="59">
        <f t="shared" si="7"/>
        <v>-3093750</v>
      </c>
      <c r="J63" s="59">
        <f t="shared" si="7"/>
        <v>-3093750</v>
      </c>
      <c r="K63" s="59">
        <f t="shared" si="7"/>
        <v>-6684375</v>
      </c>
      <c r="L63" s="59">
        <f t="shared" si="7"/>
        <v>-6684375</v>
      </c>
      <c r="M63" s="59">
        <f t="shared" si="7"/>
        <v>-6684375</v>
      </c>
      <c r="N63" s="59">
        <f t="shared" si="7"/>
        <v>-18515625</v>
      </c>
      <c r="O63" s="59">
        <f t="shared" si="7"/>
        <v>-18515625</v>
      </c>
      <c r="P63" s="59">
        <f t="shared" si="7"/>
        <v>-18515625</v>
      </c>
      <c r="Q63" s="4"/>
      <c r="R63" s="4"/>
    </row>
    <row r="64" spans="1:18" x14ac:dyDescent="0.35">
      <c r="A64" s="4"/>
      <c r="B64" s="4"/>
      <c r="C64" s="4"/>
      <c r="D64" s="4"/>
      <c r="E64" s="4"/>
      <c r="F64" s="4"/>
      <c r="G64" s="4"/>
      <c r="H64" s="4"/>
      <c r="I64" s="4"/>
      <c r="J64" s="4"/>
      <c r="K64" s="4"/>
      <c r="L64" s="4"/>
      <c r="M64" s="4"/>
      <c r="N64" s="4"/>
      <c r="O64" s="4"/>
      <c r="P64" s="4"/>
      <c r="Q64" s="4"/>
      <c r="R64" s="4"/>
    </row>
    <row r="65" spans="1:18" x14ac:dyDescent="0.35">
      <c r="A65" s="4"/>
      <c r="B65" s="61" t="s">
        <v>113</v>
      </c>
      <c r="C65" s="62"/>
      <c r="D65" s="62"/>
      <c r="E65" s="62"/>
      <c r="F65" s="62"/>
      <c r="G65" s="62"/>
      <c r="H65" s="62"/>
      <c r="I65" s="62"/>
      <c r="J65" s="62"/>
      <c r="K65" s="62"/>
      <c r="L65" s="62"/>
      <c r="M65" s="62"/>
      <c r="N65" s="62"/>
      <c r="O65" s="62"/>
      <c r="P65" s="62"/>
      <c r="Q65" s="62"/>
      <c r="R65" s="62"/>
    </row>
    <row r="66" spans="1:18" ht="18" x14ac:dyDescent="0.4">
      <c r="A66" s="4"/>
      <c r="B66" s="145" t="s">
        <v>76</v>
      </c>
      <c r="C66" s="147" t="s">
        <v>77</v>
      </c>
      <c r="D66" s="147"/>
      <c r="E66" s="147"/>
      <c r="F66" s="147"/>
      <c r="G66" s="147"/>
      <c r="H66" s="147" t="s">
        <v>78</v>
      </c>
      <c r="I66" s="147"/>
      <c r="J66" s="147"/>
      <c r="K66" s="148" t="s">
        <v>79</v>
      </c>
      <c r="L66" s="149"/>
      <c r="M66" s="150"/>
      <c r="N66" s="151" t="s">
        <v>80</v>
      </c>
      <c r="O66" s="152"/>
      <c r="P66" s="153"/>
      <c r="Q66" s="4"/>
      <c r="R66" s="4"/>
    </row>
    <row r="67" spans="1:18" x14ac:dyDescent="0.35">
      <c r="A67" s="4"/>
      <c r="B67" s="146"/>
      <c r="C67" s="14" t="s">
        <v>21</v>
      </c>
      <c r="D67" s="14"/>
      <c r="E67" s="14"/>
      <c r="F67" s="14" t="s">
        <v>22</v>
      </c>
      <c r="G67" s="15" t="s">
        <v>3</v>
      </c>
      <c r="H67" s="16" t="s">
        <v>21</v>
      </c>
      <c r="I67" s="16" t="s">
        <v>22</v>
      </c>
      <c r="J67" s="15" t="s">
        <v>3</v>
      </c>
      <c r="K67" s="16" t="s">
        <v>21</v>
      </c>
      <c r="L67" s="16" t="s">
        <v>22</v>
      </c>
      <c r="M67" s="15" t="s">
        <v>3</v>
      </c>
      <c r="N67" s="16" t="s">
        <v>21</v>
      </c>
      <c r="O67" s="16" t="s">
        <v>22</v>
      </c>
      <c r="P67" s="15" t="s">
        <v>3</v>
      </c>
      <c r="Q67" s="4"/>
      <c r="R67" s="4"/>
    </row>
    <row r="68" spans="1:18" x14ac:dyDescent="0.35">
      <c r="A68" s="4"/>
      <c r="B68" s="17" t="s">
        <v>81</v>
      </c>
      <c r="C68" s="18">
        <f>IF(AND((Main!$G$50&gt;5000000),(Main!$G$50&lt;=10000000)),Main!$G$50,0)</f>
        <v>0</v>
      </c>
      <c r="D68" s="18">
        <v>0</v>
      </c>
      <c r="E68" s="18">
        <v>0</v>
      </c>
      <c r="F68" s="18">
        <v>0</v>
      </c>
      <c r="G68" s="18">
        <v>0</v>
      </c>
      <c r="H68" s="18">
        <f>IF(AND((Main!$G$50&gt;10000000),(Main!$G$50&lt;=20000000)),Main!$G$50,0)</f>
        <v>0</v>
      </c>
      <c r="I68" s="18">
        <v>0</v>
      </c>
      <c r="J68" s="18">
        <v>0</v>
      </c>
      <c r="K68" s="18">
        <f>IF(AND((Main!$G$50&gt;20000000),(Main!$G$50&lt;=50000000)),Main!$G$50,0)</f>
        <v>0</v>
      </c>
      <c r="L68" s="18">
        <v>0</v>
      </c>
      <c r="M68" s="18">
        <v>0</v>
      </c>
      <c r="N68" s="18">
        <f>IF(AND((Main!$G$50&gt;50000000)),Main!$G$50,0)</f>
        <v>0</v>
      </c>
      <c r="O68" s="19">
        <v>0</v>
      </c>
      <c r="P68" s="19">
        <v>0</v>
      </c>
      <c r="Q68" s="4"/>
      <c r="R68" s="4"/>
    </row>
    <row r="69" spans="1:18" x14ac:dyDescent="0.35">
      <c r="A69" s="4"/>
      <c r="B69" s="20" t="s">
        <v>82</v>
      </c>
      <c r="C69" s="21">
        <f>IF(C68=0,0,1237500)</f>
        <v>0</v>
      </c>
      <c r="D69" s="18">
        <v>0</v>
      </c>
      <c r="E69" s="18">
        <v>0</v>
      </c>
      <c r="F69" s="18">
        <v>0</v>
      </c>
      <c r="G69" s="18">
        <v>0</v>
      </c>
      <c r="H69" s="23">
        <f>IF(H68=0,0,2737500)</f>
        <v>0</v>
      </c>
      <c r="I69" s="18">
        <v>0</v>
      </c>
      <c r="J69" s="18">
        <v>0</v>
      </c>
      <c r="K69" s="24">
        <f>IF(K68=0,0,5737500)</f>
        <v>0</v>
      </c>
      <c r="L69" s="18">
        <v>0</v>
      </c>
      <c r="M69" s="18">
        <v>0</v>
      </c>
      <c r="N69" s="19">
        <f>IF(N68=0,0,14737500)</f>
        <v>0</v>
      </c>
      <c r="O69" s="19">
        <v>0</v>
      </c>
      <c r="P69" s="19">
        <v>0</v>
      </c>
      <c r="Q69" s="4"/>
      <c r="R69" s="4"/>
    </row>
    <row r="70" spans="1:18" x14ac:dyDescent="0.35">
      <c r="A70" s="4"/>
      <c r="B70" s="20" t="s">
        <v>83</v>
      </c>
      <c r="C70" s="21">
        <f>MAX(0,C68-5000000)</f>
        <v>0</v>
      </c>
      <c r="D70" s="18">
        <v>0</v>
      </c>
      <c r="E70" s="18">
        <v>0</v>
      </c>
      <c r="F70" s="18">
        <v>0</v>
      </c>
      <c r="G70" s="18">
        <v>0</v>
      </c>
      <c r="H70" s="23">
        <f>MAX(0,H68-10000000)</f>
        <v>0</v>
      </c>
      <c r="I70" s="18">
        <v>0</v>
      </c>
      <c r="J70" s="18">
        <v>0</v>
      </c>
      <c r="K70" s="24">
        <f>MAX(0,K68-20000000)</f>
        <v>0</v>
      </c>
      <c r="L70" s="18">
        <v>0</v>
      </c>
      <c r="M70" s="18">
        <v>0</v>
      </c>
      <c r="N70" s="19">
        <f>MAX(0,N68-50000000)</f>
        <v>0</v>
      </c>
      <c r="O70" s="19">
        <v>0</v>
      </c>
      <c r="P70" s="19">
        <v>0</v>
      </c>
      <c r="Q70" s="4"/>
      <c r="R70" s="4"/>
    </row>
    <row r="71" spans="1:18" x14ac:dyDescent="0.35">
      <c r="A71" s="4"/>
      <c r="B71" s="20" t="s">
        <v>84</v>
      </c>
      <c r="C71" s="21">
        <f>(C70*30%)</f>
        <v>0</v>
      </c>
      <c r="D71" s="18">
        <v>0</v>
      </c>
      <c r="E71" s="18">
        <v>0</v>
      </c>
      <c r="F71" s="18">
        <v>0</v>
      </c>
      <c r="G71" s="18">
        <v>0</v>
      </c>
      <c r="H71" s="23">
        <f>(H70*30%)</f>
        <v>0</v>
      </c>
      <c r="I71" s="18">
        <v>0</v>
      </c>
      <c r="J71" s="18">
        <v>0</v>
      </c>
      <c r="K71" s="24">
        <f>(K70*30%)</f>
        <v>0</v>
      </c>
      <c r="L71" s="18">
        <v>0</v>
      </c>
      <c r="M71" s="18">
        <v>0</v>
      </c>
      <c r="N71" s="19">
        <f>(N70*30%)</f>
        <v>0</v>
      </c>
      <c r="O71" s="19">
        <v>0</v>
      </c>
      <c r="P71" s="19">
        <v>0</v>
      </c>
      <c r="Q71" s="4"/>
      <c r="R71" s="4"/>
    </row>
    <row r="72" spans="1:18" x14ac:dyDescent="0.35">
      <c r="A72" s="4"/>
      <c r="B72" s="26" t="s">
        <v>85</v>
      </c>
      <c r="C72" s="27">
        <f>(C69+C71)</f>
        <v>0</v>
      </c>
      <c r="D72" s="18">
        <v>0</v>
      </c>
      <c r="E72" s="18">
        <v>0</v>
      </c>
      <c r="F72" s="18">
        <v>0</v>
      </c>
      <c r="G72" s="18">
        <v>0</v>
      </c>
      <c r="H72" s="29">
        <f>(H69+H71)</f>
        <v>0</v>
      </c>
      <c r="I72" s="18">
        <v>0</v>
      </c>
      <c r="J72" s="18">
        <v>0</v>
      </c>
      <c r="K72" s="30">
        <f>(K69+K71)</f>
        <v>0</v>
      </c>
      <c r="L72" s="18">
        <v>0</v>
      </c>
      <c r="M72" s="18">
        <v>0</v>
      </c>
      <c r="N72" s="31">
        <f>(N69+N71)</f>
        <v>0</v>
      </c>
      <c r="O72" s="19">
        <v>0</v>
      </c>
      <c r="P72" s="19">
        <v>0</v>
      </c>
      <c r="Q72" s="4"/>
      <c r="R72" s="4"/>
    </row>
    <row r="73" spans="1:18" x14ac:dyDescent="0.35">
      <c r="A73" s="4"/>
      <c r="B73" s="32" t="s">
        <v>86</v>
      </c>
      <c r="C73" s="33">
        <f>IF(C82&gt;0,(C79-C82), C79)</f>
        <v>0</v>
      </c>
      <c r="D73" s="18">
        <v>0</v>
      </c>
      <c r="E73" s="18">
        <v>0</v>
      </c>
      <c r="F73" s="18">
        <v>0</v>
      </c>
      <c r="G73" s="18">
        <v>0</v>
      </c>
      <c r="H73" s="35">
        <f>IF(H82&gt;0,(H79-H82), H79)</f>
        <v>0</v>
      </c>
      <c r="I73" s="18">
        <v>0</v>
      </c>
      <c r="J73" s="18">
        <v>0</v>
      </c>
      <c r="K73" s="36">
        <f>IF(K82&gt;0,(K79-K82), K79)</f>
        <v>0</v>
      </c>
      <c r="L73" s="18">
        <v>0</v>
      </c>
      <c r="M73" s="18">
        <v>0</v>
      </c>
      <c r="N73" s="37">
        <f>IF(N82&gt;0,(N79-N82), N79)</f>
        <v>0</v>
      </c>
      <c r="O73" s="19">
        <v>0</v>
      </c>
      <c r="P73" s="19">
        <v>0</v>
      </c>
      <c r="Q73" s="4"/>
      <c r="R73" s="4"/>
    </row>
    <row r="74" spans="1:18" x14ac:dyDescent="0.35">
      <c r="A74" s="4"/>
      <c r="B74" s="38" t="s">
        <v>87</v>
      </c>
      <c r="C74" s="39">
        <f>(C72+C73)</f>
        <v>0</v>
      </c>
      <c r="D74" s="18">
        <v>0</v>
      </c>
      <c r="E74" s="18">
        <v>0</v>
      </c>
      <c r="F74" s="18">
        <v>0</v>
      </c>
      <c r="G74" s="18">
        <v>0</v>
      </c>
      <c r="H74" s="41">
        <f>(H72+H73)</f>
        <v>0</v>
      </c>
      <c r="I74" s="18">
        <v>0</v>
      </c>
      <c r="J74" s="18">
        <v>0</v>
      </c>
      <c r="K74" s="42">
        <f>(K72+K73)</f>
        <v>0</v>
      </c>
      <c r="L74" s="18">
        <v>0</v>
      </c>
      <c r="M74" s="18">
        <v>0</v>
      </c>
      <c r="N74" s="43">
        <f>(N72+N73)</f>
        <v>0</v>
      </c>
      <c r="O74" s="19">
        <v>0</v>
      </c>
      <c r="P74" s="19">
        <v>0</v>
      </c>
      <c r="Q74" s="4"/>
      <c r="R74" s="4"/>
    </row>
    <row r="75" spans="1:18" x14ac:dyDescent="0.35">
      <c r="A75" s="4"/>
      <c r="B75" s="32" t="s">
        <v>88</v>
      </c>
      <c r="C75" s="44">
        <f>(C74*4%)</f>
        <v>0</v>
      </c>
      <c r="D75" s="18">
        <v>0</v>
      </c>
      <c r="E75" s="18">
        <v>0</v>
      </c>
      <c r="F75" s="18">
        <v>0</v>
      </c>
      <c r="G75" s="18">
        <v>0</v>
      </c>
      <c r="H75" s="46">
        <f>(H74*4%)</f>
        <v>0</v>
      </c>
      <c r="I75" s="18">
        <v>0</v>
      </c>
      <c r="J75" s="18">
        <v>0</v>
      </c>
      <c r="K75" s="47">
        <f>(K74*4%)</f>
        <v>0</v>
      </c>
      <c r="L75" s="18">
        <v>0</v>
      </c>
      <c r="M75" s="18">
        <v>0</v>
      </c>
      <c r="N75" s="48">
        <f>(N74*4%)</f>
        <v>0</v>
      </c>
      <c r="O75" s="19">
        <v>0</v>
      </c>
      <c r="P75" s="19">
        <v>0</v>
      </c>
      <c r="Q75" s="4"/>
      <c r="R75" s="4"/>
    </row>
    <row r="76" spans="1:18" ht="15.5" x14ac:dyDescent="0.35">
      <c r="A76" s="4"/>
      <c r="B76" s="49" t="s">
        <v>85</v>
      </c>
      <c r="C76" s="50">
        <f>(C74+C75)</f>
        <v>0</v>
      </c>
      <c r="D76" s="18">
        <v>0</v>
      </c>
      <c r="E76" s="18">
        <v>0</v>
      </c>
      <c r="F76" s="18">
        <v>0</v>
      </c>
      <c r="G76" s="18">
        <v>0</v>
      </c>
      <c r="H76" s="53">
        <f>(H74+H75)</f>
        <v>0</v>
      </c>
      <c r="I76" s="53"/>
      <c r="J76" s="53"/>
      <c r="K76" s="54">
        <f>(K74+K75)</f>
        <v>0</v>
      </c>
      <c r="L76" s="54"/>
      <c r="M76" s="54"/>
      <c r="N76" s="54">
        <f>(N74+N75)</f>
        <v>0</v>
      </c>
      <c r="O76" s="54"/>
      <c r="P76" s="54"/>
      <c r="Q76" s="4"/>
      <c r="R76" s="4"/>
    </row>
    <row r="77" spans="1:18" x14ac:dyDescent="0.35">
      <c r="A77" s="4"/>
      <c r="B77" s="4" t="s">
        <v>0</v>
      </c>
      <c r="C77" s="4" t="str">
        <f>IF(C68&gt;=5000000, "50 Lakh", "")</f>
        <v/>
      </c>
      <c r="D77" s="4"/>
      <c r="E77" s="4"/>
      <c r="F77" s="4"/>
      <c r="G77" s="4"/>
      <c r="H77" s="4" t="str">
        <f>IF(H68&gt;=10000000, "1 Crore", "")</f>
        <v/>
      </c>
      <c r="I77" s="4"/>
      <c r="J77" s="4"/>
      <c r="K77" s="4" t="str">
        <f>IF(K68&gt;=20000000, "2 Crore", "")</f>
        <v/>
      </c>
      <c r="L77" s="4"/>
      <c r="M77" s="4"/>
      <c r="N77" s="4" t="str">
        <f>IF(N68&gt;=50000000, "5 Crore", "")</f>
        <v/>
      </c>
      <c r="O77" s="4"/>
      <c r="P77" s="4"/>
      <c r="Q77" s="4"/>
      <c r="R77" s="4"/>
    </row>
    <row r="78" spans="1:18" x14ac:dyDescent="0.35">
      <c r="A78" s="4"/>
      <c r="B78" s="3" t="s">
        <v>89</v>
      </c>
      <c r="C78" s="4"/>
      <c r="D78" s="4"/>
      <c r="E78" s="4"/>
      <c r="F78" s="4"/>
      <c r="G78" s="4"/>
      <c r="H78" s="4"/>
      <c r="I78" s="4"/>
      <c r="J78" s="4"/>
      <c r="K78" s="4"/>
      <c r="L78" s="4"/>
      <c r="M78" s="4"/>
      <c r="N78" s="4"/>
      <c r="O78" s="4"/>
      <c r="P78" s="4"/>
      <c r="Q78" s="4"/>
      <c r="R78" s="4"/>
    </row>
    <row r="79" spans="1:18" x14ac:dyDescent="0.35">
      <c r="A79" s="4"/>
      <c r="B79" s="55" t="s">
        <v>90</v>
      </c>
      <c r="C79" s="56">
        <f>(C72*10%)</f>
        <v>0</v>
      </c>
      <c r="D79" s="56"/>
      <c r="E79" s="56"/>
      <c r="F79" s="55"/>
      <c r="G79" s="55"/>
      <c r="H79" s="55">
        <f>(H72*15%)</f>
        <v>0</v>
      </c>
      <c r="I79" s="55"/>
      <c r="J79" s="55"/>
      <c r="K79" s="55">
        <f>(K72*25%)</f>
        <v>0</v>
      </c>
      <c r="L79" s="55"/>
      <c r="M79" s="55"/>
      <c r="N79" s="57">
        <f>(N72*37%)</f>
        <v>0</v>
      </c>
      <c r="O79" s="57"/>
      <c r="P79" s="57"/>
      <c r="Q79" s="4"/>
      <c r="R79" s="4"/>
    </row>
    <row r="80" spans="1:18" x14ac:dyDescent="0.35">
      <c r="A80" s="4"/>
      <c r="B80" s="4" t="s">
        <v>91</v>
      </c>
      <c r="C80" s="58">
        <f>(C72+C79)</f>
        <v>0</v>
      </c>
      <c r="D80" s="58"/>
      <c r="E80" s="58"/>
      <c r="F80" s="4"/>
      <c r="G80" s="4"/>
      <c r="H80" s="59">
        <f>(H72+H79)</f>
        <v>0</v>
      </c>
      <c r="I80" s="59"/>
      <c r="J80" s="59"/>
      <c r="K80" s="59">
        <f>(K72+K79)</f>
        <v>0</v>
      </c>
      <c r="L80" s="59"/>
      <c r="M80" s="59"/>
      <c r="N80" s="59">
        <f>(N72+N79)</f>
        <v>0</v>
      </c>
      <c r="O80" s="59"/>
      <c r="P80" s="59"/>
      <c r="Q80" s="4"/>
      <c r="R80" s="4"/>
    </row>
    <row r="81" spans="1:18" x14ac:dyDescent="0.35">
      <c r="A81" s="4"/>
      <c r="B81" s="4" t="s">
        <v>92</v>
      </c>
      <c r="C81" s="58">
        <f>(C80-C69)</f>
        <v>0</v>
      </c>
      <c r="D81" s="58"/>
      <c r="E81" s="58"/>
      <c r="F81" s="59"/>
      <c r="G81" s="59"/>
      <c r="H81" s="59">
        <f>(H80-3011250)</f>
        <v>-3011250</v>
      </c>
      <c r="I81" s="59"/>
      <c r="J81" s="59"/>
      <c r="K81" s="59">
        <f>(K80-6598125)</f>
        <v>-6598125</v>
      </c>
      <c r="L81" s="59"/>
      <c r="M81" s="59"/>
      <c r="N81" s="59">
        <f>(N80-18421875)</f>
        <v>-18421875</v>
      </c>
      <c r="O81" s="59"/>
      <c r="P81" s="59"/>
      <c r="Q81" s="4"/>
      <c r="R81" s="4"/>
    </row>
    <row r="82" spans="1:18" x14ac:dyDescent="0.35">
      <c r="A82" s="4"/>
      <c r="B82" s="4" t="s">
        <v>93</v>
      </c>
      <c r="C82" s="58">
        <f>(C81-C70)</f>
        <v>0</v>
      </c>
      <c r="D82" s="58"/>
      <c r="E82" s="58"/>
      <c r="F82" s="59"/>
      <c r="G82" s="59"/>
      <c r="H82" s="59">
        <f>(H81-H70)</f>
        <v>-3011250</v>
      </c>
      <c r="I82" s="59"/>
      <c r="J82" s="59"/>
      <c r="K82" s="59">
        <f>(K81-K70)</f>
        <v>-6598125</v>
      </c>
      <c r="L82" s="59"/>
      <c r="M82" s="59"/>
      <c r="N82" s="59">
        <f>(N81-N70)</f>
        <v>-18421875</v>
      </c>
      <c r="O82" s="59"/>
      <c r="P82" s="59"/>
      <c r="Q82" s="4"/>
      <c r="R82" s="4"/>
    </row>
    <row r="83" spans="1:18" x14ac:dyDescent="0.35">
      <c r="A83" s="4"/>
      <c r="B83" s="4"/>
      <c r="C83" s="4"/>
      <c r="D83" s="4"/>
      <c r="E83" s="4"/>
      <c r="F83" s="4"/>
      <c r="G83" s="4"/>
      <c r="H83" s="4"/>
      <c r="I83" s="4"/>
      <c r="J83" s="4"/>
      <c r="K83" s="4"/>
      <c r="L83" s="4"/>
      <c r="M83" s="4"/>
      <c r="N83" s="4"/>
      <c r="O83" s="4"/>
      <c r="P83" s="4"/>
      <c r="Q83" s="4"/>
      <c r="R83" s="4"/>
    </row>
    <row r="84" spans="1:18" x14ac:dyDescent="0.35">
      <c r="A84" s="4"/>
      <c r="B84" s="4"/>
      <c r="C84" s="4"/>
      <c r="D84" s="4"/>
      <c r="E84" s="4"/>
      <c r="F84" s="4"/>
      <c r="G84" s="4"/>
      <c r="H84" s="4"/>
      <c r="I84" s="4"/>
      <c r="J84" s="4"/>
      <c r="K84" s="4"/>
      <c r="L84" s="4"/>
      <c r="M84" s="4"/>
      <c r="N84" s="4"/>
      <c r="O84" s="4"/>
      <c r="P84" s="4"/>
      <c r="Q84" s="4"/>
      <c r="R84" s="4"/>
    </row>
    <row r="85" spans="1:18" x14ac:dyDescent="0.35">
      <c r="A85" s="4"/>
      <c r="B85" s="4"/>
      <c r="C85" s="4"/>
      <c r="D85" s="4"/>
      <c r="E85" s="4"/>
      <c r="F85" s="4"/>
      <c r="G85" s="4"/>
      <c r="H85" s="4"/>
      <c r="I85" s="4"/>
      <c r="J85" s="4"/>
      <c r="K85" s="4"/>
      <c r="L85" s="4"/>
      <c r="M85" s="4"/>
      <c r="N85" s="4"/>
      <c r="O85" s="4"/>
      <c r="P85" s="4"/>
      <c r="Q85" s="4"/>
      <c r="R85" s="4"/>
    </row>
    <row r="86" spans="1:18" x14ac:dyDescent="0.35">
      <c r="A86" s="4"/>
      <c r="B86" s="4"/>
      <c r="C86" s="4"/>
      <c r="D86" s="4"/>
      <c r="E86" s="4"/>
      <c r="F86" s="4"/>
      <c r="G86" s="4"/>
      <c r="H86" s="4"/>
      <c r="I86" s="4"/>
      <c r="J86" s="4"/>
      <c r="K86" s="4"/>
      <c r="L86" s="4"/>
      <c r="M86" s="4"/>
      <c r="N86" s="4"/>
      <c r="O86" s="4"/>
      <c r="P86" s="4"/>
      <c r="Q86" s="4"/>
      <c r="R86" s="4"/>
    </row>
    <row r="87" spans="1:18" x14ac:dyDescent="0.35">
      <c r="A87" s="4"/>
      <c r="B87" s="3" t="s">
        <v>104</v>
      </c>
      <c r="C87" s="4"/>
      <c r="D87" s="4"/>
      <c r="E87" s="4"/>
      <c r="F87" s="4"/>
      <c r="G87" s="4"/>
      <c r="H87" s="4"/>
      <c r="I87" s="4"/>
      <c r="J87" s="4"/>
      <c r="K87" s="4"/>
      <c r="L87" s="4"/>
      <c r="M87" s="4"/>
      <c r="N87" s="4"/>
      <c r="O87" s="4"/>
      <c r="P87" s="4"/>
      <c r="Q87" s="4"/>
      <c r="R87" s="4"/>
    </row>
    <row r="88" spans="1:18" x14ac:dyDescent="0.35">
      <c r="A88" s="4"/>
      <c r="B88" s="72" t="s">
        <v>0</v>
      </c>
      <c r="C88" s="72" t="s">
        <v>58</v>
      </c>
      <c r="D88" s="72" t="s">
        <v>111</v>
      </c>
      <c r="E88" s="72" t="s">
        <v>112</v>
      </c>
      <c r="F88" s="4"/>
      <c r="G88" s="4"/>
      <c r="H88" s="4"/>
      <c r="I88" s="4"/>
      <c r="J88" s="4"/>
      <c r="K88" s="4"/>
      <c r="L88" s="4"/>
      <c r="M88" s="4"/>
      <c r="N88" s="4"/>
      <c r="O88" s="4"/>
      <c r="P88" s="4"/>
      <c r="Q88" s="4"/>
      <c r="R88" s="4"/>
    </row>
    <row r="89" spans="1:18" x14ac:dyDescent="0.35">
      <c r="A89" s="4"/>
      <c r="B89" s="68" t="s">
        <v>105</v>
      </c>
      <c r="C89" s="69">
        <f>IF(Main!$G$68&lt;300001,Main!$G$68,0)</f>
        <v>0</v>
      </c>
      <c r="D89" s="70" t="s">
        <v>13</v>
      </c>
      <c r="E89" s="68">
        <v>0</v>
      </c>
      <c r="F89" s="4"/>
      <c r="G89" s="4"/>
      <c r="H89" s="4"/>
      <c r="I89" s="4"/>
      <c r="J89" s="4"/>
      <c r="K89" s="4"/>
      <c r="L89" s="4"/>
      <c r="M89" s="4"/>
      <c r="N89" s="4"/>
      <c r="O89" s="4"/>
      <c r="P89" s="4"/>
      <c r="Q89" s="4"/>
      <c r="R89" s="4"/>
    </row>
    <row r="90" spans="1:18" x14ac:dyDescent="0.35">
      <c r="A90" s="4"/>
      <c r="B90" s="71" t="s">
        <v>106</v>
      </c>
      <c r="C90" s="69">
        <f>IF(AND(Main!$G$68&gt;300000, Main!$G$68&lt;600001),Main!$G$68,0)</f>
        <v>0</v>
      </c>
      <c r="D90" s="68">
        <v>5</v>
      </c>
      <c r="E90" s="67">
        <f>(C90-300000)*D90/100</f>
        <v>-15000</v>
      </c>
      <c r="F90" s="4"/>
      <c r="G90" s="4"/>
      <c r="H90" s="4"/>
      <c r="I90" s="4"/>
      <c r="J90" s="4"/>
      <c r="K90" s="4"/>
      <c r="L90" s="4"/>
      <c r="M90" s="4"/>
      <c r="N90" s="4"/>
      <c r="O90" s="4"/>
      <c r="P90" s="4"/>
      <c r="Q90" s="4"/>
      <c r="R90" s="4"/>
    </row>
    <row r="91" spans="1:18" x14ac:dyDescent="0.35">
      <c r="A91" s="4"/>
      <c r="B91" s="71" t="s">
        <v>107</v>
      </c>
      <c r="C91" s="69">
        <f>IF(AND(Main!$G$68&gt;600000, Main!$G$68&lt;900001),Main!$G$68,0)</f>
        <v>0</v>
      </c>
      <c r="D91" s="68">
        <v>10</v>
      </c>
      <c r="E91" s="67">
        <f>(C91-600000)*D91/100+15000</f>
        <v>-45000</v>
      </c>
      <c r="F91" s="4"/>
      <c r="G91" s="4"/>
      <c r="H91" s="4"/>
      <c r="I91" s="4"/>
      <c r="J91" s="4"/>
      <c r="K91" s="4"/>
      <c r="L91" s="4"/>
      <c r="M91" s="4"/>
      <c r="N91" s="4"/>
      <c r="O91" s="4"/>
      <c r="P91" s="4"/>
      <c r="Q91" s="4"/>
      <c r="R91" s="4"/>
    </row>
    <row r="92" spans="1:18" x14ac:dyDescent="0.35">
      <c r="A92" s="4"/>
      <c r="B92" s="71" t="s">
        <v>108</v>
      </c>
      <c r="C92" s="69">
        <f>IF(AND(Main!$G$68&gt;900000, Main!$G$68&lt;1200001),Main!$G$68,0)</f>
        <v>0</v>
      </c>
      <c r="D92" s="68">
        <v>15</v>
      </c>
      <c r="E92" s="67">
        <f>(C92-900000)*D92/100+45000</f>
        <v>-90000</v>
      </c>
      <c r="F92" s="4"/>
      <c r="G92" s="4"/>
      <c r="H92" s="4"/>
      <c r="I92" s="4"/>
      <c r="J92" s="4"/>
      <c r="K92" s="4"/>
      <c r="L92" s="4"/>
      <c r="M92" s="4"/>
      <c r="N92" s="4"/>
      <c r="O92" s="4"/>
      <c r="P92" s="4"/>
      <c r="Q92" s="4"/>
      <c r="R92" s="4"/>
    </row>
    <row r="93" spans="1:18" x14ac:dyDescent="0.35">
      <c r="A93" s="4"/>
      <c r="B93" s="71" t="s">
        <v>109</v>
      </c>
      <c r="C93" s="69">
        <f>IF(AND(Main!$G$68&gt;1200000, Main!$G$68&lt;1500001),Main!$G$68,0)</f>
        <v>0</v>
      </c>
      <c r="D93" s="68">
        <v>20</v>
      </c>
      <c r="E93" s="67">
        <f>(C93-1200000)*D93/100+90000</f>
        <v>-150000</v>
      </c>
      <c r="F93" s="4"/>
      <c r="G93" s="4"/>
      <c r="H93" s="4"/>
      <c r="I93" s="4"/>
      <c r="J93" s="4"/>
      <c r="K93" s="4"/>
      <c r="L93" s="4"/>
      <c r="M93" s="4"/>
      <c r="N93" s="4"/>
      <c r="O93" s="4"/>
      <c r="P93" s="4"/>
      <c r="Q93" s="4"/>
      <c r="R93" s="4"/>
    </row>
    <row r="94" spans="1:18" x14ac:dyDescent="0.35">
      <c r="A94" s="4"/>
      <c r="B94" s="71" t="s">
        <v>110</v>
      </c>
      <c r="C94" s="69">
        <f>IF(Main!$G$68&gt;1500001,Main!$G$68,0)</f>
        <v>0</v>
      </c>
      <c r="D94" s="68">
        <v>30</v>
      </c>
      <c r="E94" s="67">
        <f>(C94-1500000)*D94/100+150000</f>
        <v>-300000</v>
      </c>
      <c r="F94" s="4"/>
      <c r="G94" s="4"/>
      <c r="H94" s="4"/>
      <c r="I94" s="4"/>
      <c r="J94" s="4"/>
      <c r="K94" s="4"/>
      <c r="L94" s="4"/>
      <c r="M94" s="4"/>
      <c r="N94" s="4"/>
      <c r="O94" s="4"/>
      <c r="P94" s="4"/>
      <c r="Q94" s="4"/>
      <c r="R94" s="4"/>
    </row>
    <row r="95" spans="1:18" x14ac:dyDescent="0.35">
      <c r="A95" s="4"/>
      <c r="B95" s="4"/>
      <c r="D95" s="4"/>
      <c r="E95" s="60">
        <f>MAX(E89:E94)</f>
        <v>0</v>
      </c>
      <c r="F95" s="4"/>
      <c r="G95" s="4"/>
      <c r="H95" s="4"/>
      <c r="I95" s="4"/>
      <c r="J95" s="4"/>
      <c r="K95" s="4"/>
      <c r="L95" s="4"/>
      <c r="M95" s="4"/>
      <c r="N95" s="4"/>
      <c r="O95" s="4"/>
      <c r="P95" s="4"/>
      <c r="Q95" s="4"/>
      <c r="R95" s="4"/>
    </row>
    <row r="96" spans="1:18" x14ac:dyDescent="0.35">
      <c r="A96" s="4"/>
      <c r="B96" s="4" t="s">
        <v>93</v>
      </c>
      <c r="C96" s="4"/>
      <c r="D96" s="4"/>
      <c r="E96" s="4">
        <f>IF(AND(Main!C21&gt;700000,Main!C21&lt;727780),Main!C21-700000,0)</f>
        <v>0</v>
      </c>
      <c r="F96" s="4"/>
      <c r="G96" s="4"/>
      <c r="H96" s="4"/>
      <c r="I96" s="4"/>
      <c r="J96" s="4"/>
      <c r="K96" s="4"/>
      <c r="L96" s="4"/>
      <c r="M96" s="4"/>
      <c r="N96" s="4"/>
      <c r="O96" s="4"/>
      <c r="P96" s="4"/>
      <c r="Q96" s="4"/>
      <c r="R96" s="4"/>
    </row>
    <row r="97" spans="1:18" x14ac:dyDescent="0.35">
      <c r="A97" s="4"/>
      <c r="B97" s="4"/>
      <c r="C97" s="4"/>
      <c r="D97" s="4"/>
      <c r="E97" s="4"/>
      <c r="F97" s="4"/>
      <c r="G97" s="4"/>
      <c r="H97" s="4"/>
      <c r="I97" s="4"/>
      <c r="J97" s="4"/>
      <c r="K97" s="4"/>
      <c r="L97" s="4"/>
      <c r="M97" s="4"/>
      <c r="N97" s="4"/>
      <c r="O97" s="4"/>
      <c r="P97" s="4"/>
      <c r="Q97" s="4"/>
      <c r="R97" s="4"/>
    </row>
    <row r="98" spans="1:18" x14ac:dyDescent="0.35">
      <c r="A98" s="4"/>
      <c r="B98" s="4"/>
      <c r="C98" s="4"/>
      <c r="D98" s="4"/>
      <c r="E98" s="4"/>
      <c r="F98" s="4"/>
      <c r="G98" s="4"/>
      <c r="H98" s="4"/>
      <c r="I98" s="4"/>
      <c r="J98" s="4"/>
      <c r="K98" s="4"/>
      <c r="L98" s="4"/>
      <c r="M98" s="4"/>
      <c r="N98" s="4"/>
      <c r="O98" s="4"/>
      <c r="P98" s="4"/>
      <c r="Q98" s="4"/>
      <c r="R98" s="4"/>
    </row>
    <row r="99" spans="1:18" x14ac:dyDescent="0.35">
      <c r="A99" s="4"/>
      <c r="B99" s="4"/>
      <c r="C99" s="4"/>
      <c r="D99" s="4"/>
      <c r="E99" s="4"/>
      <c r="F99" s="4"/>
      <c r="G99" s="4"/>
      <c r="H99" s="4"/>
      <c r="I99" s="4"/>
      <c r="J99" s="4"/>
      <c r="K99" s="4"/>
      <c r="L99" s="4"/>
      <c r="M99" s="4"/>
      <c r="N99" s="4"/>
      <c r="O99" s="4"/>
      <c r="P99" s="4"/>
      <c r="Q99" s="4"/>
      <c r="R99" s="4"/>
    </row>
    <row r="100" spans="1:18" x14ac:dyDescent="0.35">
      <c r="A100" s="4"/>
      <c r="B100" s="4"/>
      <c r="C100" s="4"/>
      <c r="D100" s="4"/>
      <c r="E100" s="4"/>
      <c r="F100" s="4"/>
      <c r="G100" s="4"/>
      <c r="H100" s="4"/>
      <c r="I100" s="4"/>
      <c r="J100" s="4"/>
      <c r="K100" s="4"/>
      <c r="L100" s="4"/>
      <c r="M100" s="4"/>
      <c r="N100" s="4"/>
      <c r="O100" s="4"/>
      <c r="P100" s="4"/>
      <c r="Q100" s="4"/>
      <c r="R100" s="4"/>
    </row>
    <row r="101" spans="1:18" x14ac:dyDescent="0.35">
      <c r="A101" s="4"/>
      <c r="B101" s="61" t="s">
        <v>122</v>
      </c>
      <c r="C101" s="62"/>
      <c r="D101" s="62"/>
      <c r="E101" s="62"/>
      <c r="F101" s="62"/>
      <c r="G101" s="62"/>
      <c r="H101" s="62"/>
      <c r="I101" s="62"/>
      <c r="J101" s="62"/>
      <c r="K101" s="62"/>
      <c r="L101" s="62"/>
      <c r="M101" s="62"/>
      <c r="N101" s="62"/>
      <c r="O101" s="62"/>
      <c r="P101" s="62"/>
      <c r="Q101" s="4"/>
      <c r="R101" s="4"/>
    </row>
    <row r="102" spans="1:18" ht="18" x14ac:dyDescent="0.4">
      <c r="A102" s="4"/>
      <c r="B102" s="145" t="s">
        <v>76</v>
      </c>
      <c r="C102" s="147" t="s">
        <v>77</v>
      </c>
      <c r="D102" s="147"/>
      <c r="E102" s="147"/>
      <c r="F102" s="147"/>
      <c r="G102" s="147"/>
      <c r="H102" s="147" t="s">
        <v>78</v>
      </c>
      <c r="I102" s="147"/>
      <c r="J102" s="147"/>
      <c r="K102" s="148" t="s">
        <v>79</v>
      </c>
      <c r="L102" s="149"/>
      <c r="M102" s="150"/>
      <c r="N102" s="151" t="s">
        <v>80</v>
      </c>
      <c r="O102" s="152"/>
      <c r="P102" s="153"/>
      <c r="Q102" s="4"/>
      <c r="R102" s="4"/>
    </row>
    <row r="103" spans="1:18" x14ac:dyDescent="0.35">
      <c r="A103" s="4"/>
      <c r="B103" s="146"/>
      <c r="C103" s="14" t="s">
        <v>21</v>
      </c>
      <c r="D103" s="14"/>
      <c r="E103" s="14"/>
      <c r="F103" s="14" t="s">
        <v>22</v>
      </c>
      <c r="G103" s="15" t="s">
        <v>3</v>
      </c>
      <c r="H103" s="16" t="s">
        <v>21</v>
      </c>
      <c r="I103" s="16" t="s">
        <v>22</v>
      </c>
      <c r="J103" s="15" t="s">
        <v>3</v>
      </c>
      <c r="K103" s="16" t="s">
        <v>21</v>
      </c>
      <c r="L103" s="16" t="s">
        <v>22</v>
      </c>
      <c r="M103" s="15" t="s">
        <v>3</v>
      </c>
      <c r="N103" s="16" t="s">
        <v>21</v>
      </c>
      <c r="O103" s="16" t="s">
        <v>22</v>
      </c>
      <c r="P103" s="15" t="s">
        <v>3</v>
      </c>
      <c r="Q103" s="4"/>
      <c r="R103" s="4"/>
    </row>
    <row r="104" spans="1:18" x14ac:dyDescent="0.35">
      <c r="A104" s="4"/>
      <c r="B104" s="17" t="s">
        <v>81</v>
      </c>
      <c r="C104" s="18">
        <f>IF(AND((Main!$G$68&gt;5000000),(Main!$G$68&lt;=10000000)),Main!$G$68,0)</f>
        <v>0</v>
      </c>
      <c r="D104" s="18">
        <v>0</v>
      </c>
      <c r="E104" s="18">
        <v>0</v>
      </c>
      <c r="F104" s="18">
        <v>0</v>
      </c>
      <c r="G104" s="18">
        <v>0</v>
      </c>
      <c r="H104" s="18">
        <f>IF(AND((Main!$G$68&gt;10000000),(Main!$G$68&lt;=20000000)),Main!$G$68,0)</f>
        <v>0</v>
      </c>
      <c r="I104" s="18"/>
      <c r="J104" s="18"/>
      <c r="K104" s="18">
        <f>IF(AND((Main!$G$68&gt;20000000),(Main!$G$68&lt;=50000000)),Main!$G$68,0)</f>
        <v>0</v>
      </c>
      <c r="L104" s="18"/>
      <c r="M104" s="18"/>
      <c r="N104" s="18">
        <f>IF(AND((Main!$G$68&gt;50000000)),Main!$G$68,0)</f>
        <v>0</v>
      </c>
      <c r="O104" s="19"/>
      <c r="P104" s="19"/>
      <c r="Q104" s="4"/>
      <c r="R104" s="4"/>
    </row>
    <row r="105" spans="1:18" x14ac:dyDescent="0.35">
      <c r="A105" s="4"/>
      <c r="B105" s="20" t="s">
        <v>82</v>
      </c>
      <c r="C105" s="21">
        <f>IF(C104=0,0,1200000)</f>
        <v>0</v>
      </c>
      <c r="D105" s="18">
        <v>0</v>
      </c>
      <c r="E105" s="18">
        <v>0</v>
      </c>
      <c r="F105" s="18">
        <v>0</v>
      </c>
      <c r="G105" s="18">
        <v>0</v>
      </c>
      <c r="H105" s="23">
        <f>IF(H104=0,0,2700000)</f>
        <v>0</v>
      </c>
      <c r="I105" s="23"/>
      <c r="J105" s="23"/>
      <c r="K105" s="24">
        <f>IF(K104=0,0,5700000)</f>
        <v>0</v>
      </c>
      <c r="L105" s="24"/>
      <c r="M105" s="24"/>
      <c r="N105" s="19">
        <f>IF(N104=0,0,14700000)</f>
        <v>0</v>
      </c>
      <c r="O105" s="19"/>
      <c r="P105" s="19"/>
      <c r="Q105" s="4"/>
      <c r="R105" s="4"/>
    </row>
    <row r="106" spans="1:18" x14ac:dyDescent="0.35">
      <c r="A106" s="4"/>
      <c r="B106" s="20" t="s">
        <v>83</v>
      </c>
      <c r="C106" s="21">
        <f>MAX(0,C104-5000000)</f>
        <v>0</v>
      </c>
      <c r="D106" s="18">
        <v>0</v>
      </c>
      <c r="E106" s="18">
        <v>0</v>
      </c>
      <c r="F106" s="18">
        <v>0</v>
      </c>
      <c r="G106" s="18">
        <v>0</v>
      </c>
      <c r="H106" s="23">
        <f>MAX(0,H104-10000000)</f>
        <v>0</v>
      </c>
      <c r="I106" s="23"/>
      <c r="J106" s="23"/>
      <c r="K106" s="24">
        <f>MAX(0,K104-20000000)</f>
        <v>0</v>
      </c>
      <c r="L106" s="24"/>
      <c r="M106" s="24"/>
      <c r="N106" s="19">
        <f>MAX(0,N104-50000000)</f>
        <v>0</v>
      </c>
      <c r="O106" s="19"/>
      <c r="P106" s="19"/>
      <c r="Q106" s="4"/>
      <c r="R106" s="4"/>
    </row>
    <row r="107" spans="1:18" x14ac:dyDescent="0.35">
      <c r="A107" s="4"/>
      <c r="B107" s="20" t="s">
        <v>84</v>
      </c>
      <c r="C107" s="21">
        <f>(C106*30%)</f>
        <v>0</v>
      </c>
      <c r="D107" s="18">
        <v>0</v>
      </c>
      <c r="E107" s="18">
        <v>0</v>
      </c>
      <c r="F107" s="18">
        <v>0</v>
      </c>
      <c r="G107" s="18">
        <v>0</v>
      </c>
      <c r="H107" s="23">
        <f>(H106*30%)</f>
        <v>0</v>
      </c>
      <c r="I107" s="23"/>
      <c r="J107" s="23"/>
      <c r="K107" s="24">
        <f>(K106*30%)</f>
        <v>0</v>
      </c>
      <c r="L107" s="24"/>
      <c r="M107" s="24"/>
      <c r="N107" s="19">
        <f>(N106*30%)</f>
        <v>0</v>
      </c>
      <c r="O107" s="19"/>
      <c r="P107" s="19"/>
      <c r="Q107" s="4"/>
      <c r="R107" s="4"/>
    </row>
    <row r="108" spans="1:18" x14ac:dyDescent="0.35">
      <c r="A108" s="4"/>
      <c r="B108" s="26" t="s">
        <v>85</v>
      </c>
      <c r="C108" s="27">
        <f>(C105+C107)</f>
        <v>0</v>
      </c>
      <c r="D108" s="18">
        <v>0</v>
      </c>
      <c r="E108" s="18">
        <v>0</v>
      </c>
      <c r="F108" s="18">
        <v>0</v>
      </c>
      <c r="G108" s="18">
        <v>0</v>
      </c>
      <c r="H108" s="29">
        <f>(H105+H107)</f>
        <v>0</v>
      </c>
      <c r="I108" s="29"/>
      <c r="J108" s="29"/>
      <c r="K108" s="30">
        <f>(K105+K107)</f>
        <v>0</v>
      </c>
      <c r="L108" s="30"/>
      <c r="M108" s="30"/>
      <c r="N108" s="31">
        <f>(N105+N107)</f>
        <v>0</v>
      </c>
      <c r="O108" s="31"/>
      <c r="P108" s="31"/>
      <c r="Q108" s="4"/>
      <c r="R108" s="4"/>
    </row>
    <row r="109" spans="1:18" x14ac:dyDescent="0.35">
      <c r="A109" s="4"/>
      <c r="B109" s="32" t="s">
        <v>86</v>
      </c>
      <c r="C109" s="33">
        <f>IF(C118&gt;0,(C115-C118), C115)</f>
        <v>0</v>
      </c>
      <c r="D109" s="18">
        <v>0</v>
      </c>
      <c r="E109" s="18">
        <v>0</v>
      </c>
      <c r="F109" s="18">
        <v>0</v>
      </c>
      <c r="G109" s="18">
        <v>0</v>
      </c>
      <c r="H109" s="35">
        <f>IF(H118&gt;0,(H115-H118), H115)</f>
        <v>0</v>
      </c>
      <c r="I109" s="35"/>
      <c r="J109" s="35"/>
      <c r="K109" s="36">
        <f>IF(K118&gt;0,(K115-K118), K115)</f>
        <v>0</v>
      </c>
      <c r="L109" s="36"/>
      <c r="M109" s="36"/>
      <c r="N109" s="37">
        <f>IF(N118&gt;0,(N115-N118), N115)</f>
        <v>0</v>
      </c>
      <c r="O109" s="37"/>
      <c r="P109" s="37"/>
      <c r="Q109" s="4"/>
      <c r="R109" s="4"/>
    </row>
    <row r="110" spans="1:18" x14ac:dyDescent="0.35">
      <c r="A110" s="4"/>
      <c r="B110" s="38" t="s">
        <v>87</v>
      </c>
      <c r="C110" s="39">
        <f>(C108+C109)</f>
        <v>0</v>
      </c>
      <c r="D110" s="18">
        <v>0</v>
      </c>
      <c r="E110" s="18">
        <v>0</v>
      </c>
      <c r="F110" s="18">
        <v>0</v>
      </c>
      <c r="G110" s="18">
        <v>0</v>
      </c>
      <c r="H110" s="41">
        <f>(H108+H109)</f>
        <v>0</v>
      </c>
      <c r="I110" s="41"/>
      <c r="J110" s="41"/>
      <c r="K110" s="42">
        <f>(K108+K109)</f>
        <v>0</v>
      </c>
      <c r="L110" s="42"/>
      <c r="M110" s="42"/>
      <c r="N110" s="43">
        <f>(N108+N109)</f>
        <v>0</v>
      </c>
      <c r="O110" s="43"/>
      <c r="P110" s="43"/>
      <c r="Q110" s="4"/>
      <c r="R110" s="4"/>
    </row>
    <row r="111" spans="1:18" x14ac:dyDescent="0.35">
      <c r="A111" s="4"/>
      <c r="B111" s="32" t="s">
        <v>88</v>
      </c>
      <c r="C111" s="44">
        <f>(C110*4%)</f>
        <v>0</v>
      </c>
      <c r="D111" s="18">
        <v>0</v>
      </c>
      <c r="E111" s="18">
        <v>0</v>
      </c>
      <c r="F111" s="18">
        <v>0</v>
      </c>
      <c r="G111" s="18">
        <v>0</v>
      </c>
      <c r="H111" s="46">
        <f>(H110*4%)</f>
        <v>0</v>
      </c>
      <c r="I111" s="46"/>
      <c r="J111" s="46"/>
      <c r="K111" s="47">
        <f>(K110*4%)</f>
        <v>0</v>
      </c>
      <c r="L111" s="47"/>
      <c r="M111" s="47"/>
      <c r="N111" s="48">
        <f>(N110*4%)</f>
        <v>0</v>
      </c>
      <c r="O111" s="48"/>
      <c r="P111" s="48"/>
      <c r="Q111" s="4"/>
      <c r="R111" s="4"/>
    </row>
    <row r="112" spans="1:18" ht="15.5" x14ac:dyDescent="0.35">
      <c r="A112" s="4"/>
      <c r="B112" s="49" t="s">
        <v>85</v>
      </c>
      <c r="C112" s="50">
        <f>(C110+C111)</f>
        <v>0</v>
      </c>
      <c r="D112" s="51"/>
      <c r="E112" s="51"/>
      <c r="F112" s="52"/>
      <c r="G112" s="52"/>
      <c r="H112" s="53">
        <f>(H110+H111)</f>
        <v>0</v>
      </c>
      <c r="I112" s="53"/>
      <c r="J112" s="53"/>
      <c r="K112" s="54">
        <f>(K110+K111)</f>
        <v>0</v>
      </c>
      <c r="L112" s="54"/>
      <c r="M112" s="54"/>
      <c r="N112" s="54">
        <f>(N110+N111)</f>
        <v>0</v>
      </c>
      <c r="O112" s="54"/>
      <c r="P112" s="54"/>
      <c r="Q112" s="4"/>
      <c r="R112" s="4"/>
    </row>
    <row r="113" spans="1:18" x14ac:dyDescent="0.35">
      <c r="A113" s="4"/>
      <c r="B113" s="4" t="s">
        <v>0</v>
      </c>
      <c r="C113" s="4" t="str">
        <f>IF(C104&gt;=5000000, "50 Lakh", "")</f>
        <v/>
      </c>
      <c r="D113" s="4"/>
      <c r="E113" s="4"/>
      <c r="F113" s="4"/>
      <c r="G113" s="4"/>
      <c r="H113" s="4" t="str">
        <f>IF(H104&gt;=10000000, "1 Crore", "")</f>
        <v/>
      </c>
      <c r="I113" s="4"/>
      <c r="J113" s="4"/>
      <c r="K113" s="4" t="str">
        <f>IF(K104&gt;=20000000, "2 Crore", "")</f>
        <v/>
      </c>
      <c r="L113" s="4"/>
      <c r="M113" s="4"/>
      <c r="N113" s="4" t="str">
        <f>IF(N104&gt;=50000000, "5 Crore", "")</f>
        <v/>
      </c>
      <c r="O113" s="4"/>
      <c r="P113" s="4"/>
      <c r="Q113" s="4"/>
      <c r="R113" s="4"/>
    </row>
    <row r="114" spans="1:18" x14ac:dyDescent="0.35">
      <c r="A114" s="4"/>
      <c r="B114" s="3" t="s">
        <v>89</v>
      </c>
      <c r="C114" s="4"/>
      <c r="D114" s="4"/>
      <c r="E114" s="4"/>
      <c r="F114" s="4"/>
      <c r="G114" s="4"/>
      <c r="H114" s="4"/>
      <c r="I114" s="4"/>
      <c r="J114" s="4"/>
      <c r="K114" s="4"/>
      <c r="L114" s="4"/>
      <c r="M114" s="4"/>
      <c r="N114" s="4"/>
      <c r="O114" s="4"/>
      <c r="P114" s="4"/>
      <c r="Q114" s="4"/>
      <c r="R114" s="4"/>
    </row>
    <row r="115" spans="1:18" x14ac:dyDescent="0.35">
      <c r="A115" s="4"/>
      <c r="B115" s="55" t="s">
        <v>90</v>
      </c>
      <c r="C115" s="56">
        <f>(C108*10%)</f>
        <v>0</v>
      </c>
      <c r="D115" s="56"/>
      <c r="E115" s="56"/>
      <c r="F115" s="55"/>
      <c r="G115" s="55"/>
      <c r="H115" s="55">
        <f>(H108*15%)</f>
        <v>0</v>
      </c>
      <c r="I115" s="55"/>
      <c r="J115" s="55"/>
      <c r="K115" s="55">
        <f>(K108*25%)</f>
        <v>0</v>
      </c>
      <c r="L115" s="55"/>
      <c r="M115" s="55"/>
      <c r="N115" s="57">
        <f>(N108*25%)</f>
        <v>0</v>
      </c>
      <c r="O115" s="57"/>
      <c r="P115" s="57"/>
      <c r="Q115" s="4"/>
      <c r="R115" s="4"/>
    </row>
    <row r="116" spans="1:18" x14ac:dyDescent="0.35">
      <c r="A116" s="4"/>
      <c r="B116" s="4" t="s">
        <v>91</v>
      </c>
      <c r="C116" s="58">
        <f>(C108+C115)</f>
        <v>0</v>
      </c>
      <c r="D116" s="58"/>
      <c r="E116" s="58"/>
      <c r="F116" s="4"/>
      <c r="G116" s="4"/>
      <c r="H116" s="59">
        <f>(H108+H115)</f>
        <v>0</v>
      </c>
      <c r="I116" s="59"/>
      <c r="J116" s="59"/>
      <c r="K116" s="59">
        <f>(K108+K115)</f>
        <v>0</v>
      </c>
      <c r="L116" s="59"/>
      <c r="M116" s="59"/>
      <c r="N116" s="59">
        <f>(N108+N115)</f>
        <v>0</v>
      </c>
      <c r="O116" s="59"/>
      <c r="P116" s="59"/>
      <c r="Q116" s="4"/>
      <c r="R116" s="4"/>
    </row>
    <row r="117" spans="1:18" x14ac:dyDescent="0.35">
      <c r="A117" s="4"/>
      <c r="B117" s="4" t="s">
        <v>92</v>
      </c>
      <c r="C117" s="58">
        <f>(C116-C105)</f>
        <v>0</v>
      </c>
      <c r="D117" s="58"/>
      <c r="E117" s="58"/>
      <c r="F117" s="59"/>
      <c r="G117" s="59"/>
      <c r="H117" s="59">
        <f>(H116-2970000)</f>
        <v>-2970000</v>
      </c>
      <c r="I117" s="59"/>
      <c r="J117" s="59"/>
      <c r="K117" s="59">
        <f>(K116-6555000)</f>
        <v>-6555000</v>
      </c>
      <c r="L117" s="59"/>
      <c r="M117" s="59"/>
      <c r="N117" s="59">
        <f>(N116-18375000)</f>
        <v>-18375000</v>
      </c>
      <c r="O117" s="59"/>
      <c r="P117" s="59"/>
      <c r="Q117" s="4"/>
      <c r="R117" s="4"/>
    </row>
    <row r="118" spans="1:18" x14ac:dyDescent="0.35">
      <c r="A118" s="4"/>
      <c r="B118" s="4" t="s">
        <v>93</v>
      </c>
      <c r="C118" s="58">
        <f>(C117-C106)</f>
        <v>0</v>
      </c>
      <c r="D118" s="58"/>
      <c r="E118" s="58"/>
      <c r="F118" s="59"/>
      <c r="G118" s="59"/>
      <c r="H118" s="59">
        <f>(H117-H106)</f>
        <v>-2970000</v>
      </c>
      <c r="I118" s="59"/>
      <c r="J118" s="59"/>
      <c r="K118" s="59">
        <f>(K117-K106)</f>
        <v>-6555000</v>
      </c>
      <c r="L118" s="59"/>
      <c r="M118" s="59"/>
      <c r="N118" s="59">
        <f>(N117-N106)</f>
        <v>-18375000</v>
      </c>
      <c r="O118" s="59"/>
      <c r="P118" s="59"/>
      <c r="Q118" s="4"/>
      <c r="R118" s="4"/>
    </row>
    <row r="119" spans="1:18" x14ac:dyDescent="0.35">
      <c r="A119" s="4"/>
      <c r="B119" s="4"/>
      <c r="C119" s="4"/>
      <c r="D119" s="4"/>
      <c r="E119" s="4"/>
      <c r="F119" s="4"/>
      <c r="G119" s="4"/>
      <c r="H119" s="4"/>
      <c r="I119" s="4"/>
      <c r="J119" s="4"/>
      <c r="K119" s="4"/>
      <c r="L119" s="4"/>
      <c r="M119" s="4"/>
      <c r="N119" s="4"/>
      <c r="O119" s="4"/>
      <c r="P119" s="4"/>
      <c r="Q119" s="4"/>
      <c r="R119" s="4"/>
    </row>
    <row r="120" spans="1:18" x14ac:dyDescent="0.35">
      <c r="A120" s="4"/>
      <c r="B120" s="4"/>
      <c r="C120" s="4"/>
      <c r="D120" s="4"/>
      <c r="E120" s="4"/>
      <c r="F120" s="4"/>
      <c r="G120" s="4"/>
      <c r="H120" s="4"/>
      <c r="I120" s="4"/>
      <c r="J120" s="4"/>
      <c r="K120" s="4"/>
      <c r="L120" s="4"/>
      <c r="M120" s="4"/>
      <c r="N120" s="4"/>
      <c r="O120" s="4"/>
      <c r="P120" s="4"/>
      <c r="Q120" s="4"/>
      <c r="R120" s="4"/>
    </row>
    <row r="121" spans="1:18" x14ac:dyDescent="0.35">
      <c r="A121" s="4"/>
      <c r="B121" s="3" t="s">
        <v>123</v>
      </c>
      <c r="C121" s="4"/>
      <c r="D121" s="4"/>
      <c r="E121" s="4"/>
      <c r="F121" s="4"/>
      <c r="G121" s="4"/>
      <c r="H121" s="4"/>
      <c r="I121" s="4"/>
      <c r="J121" s="4"/>
      <c r="K121" s="4"/>
      <c r="L121" s="4"/>
      <c r="M121" s="4"/>
      <c r="N121" s="4"/>
      <c r="O121" s="4"/>
      <c r="P121" s="4"/>
      <c r="Q121" s="4"/>
      <c r="R121" s="4"/>
    </row>
    <row r="122" spans="1:18" x14ac:dyDescent="0.35">
      <c r="A122" s="4"/>
      <c r="B122" s="4">
        <f>IF(Main!C4="FY 2023-24 (AY 2024-25)",0,1)</f>
        <v>1</v>
      </c>
      <c r="C122" s="4"/>
      <c r="D122" s="4"/>
      <c r="E122" s="4"/>
      <c r="F122" s="4"/>
      <c r="G122" s="4"/>
      <c r="H122" s="4"/>
      <c r="I122" s="4"/>
      <c r="J122" s="4"/>
      <c r="K122" s="4"/>
      <c r="L122" s="4"/>
      <c r="M122" s="4"/>
      <c r="N122" s="4"/>
      <c r="O122" s="4"/>
      <c r="P122" s="4"/>
      <c r="Q122" s="4"/>
      <c r="R122" s="4"/>
    </row>
    <row r="123" spans="1:18" x14ac:dyDescent="0.35">
      <c r="A123" s="4"/>
      <c r="B123" s="4">
        <f>IF(Main!C4="FY 2022-23 (AY 2023-24)",0,1)</f>
        <v>0</v>
      </c>
      <c r="C123" s="4"/>
      <c r="D123" s="4"/>
      <c r="E123" s="4"/>
      <c r="F123" s="4"/>
      <c r="G123" s="4"/>
      <c r="H123" s="4"/>
      <c r="I123" s="4"/>
      <c r="J123" s="4"/>
      <c r="K123" s="4"/>
      <c r="L123" s="4"/>
      <c r="M123" s="4"/>
      <c r="N123" s="4"/>
      <c r="O123" s="4"/>
      <c r="P123" s="4"/>
      <c r="Q123" s="4"/>
      <c r="R123" s="4"/>
    </row>
  </sheetData>
  <mergeCells count="16">
    <mergeCell ref="N66:P66"/>
    <mergeCell ref="C47:G47"/>
    <mergeCell ref="H47:J47"/>
    <mergeCell ref="K47:M47"/>
    <mergeCell ref="N47:P47"/>
    <mergeCell ref="B32:K32"/>
    <mergeCell ref="B47:B48"/>
    <mergeCell ref="B66:B67"/>
    <mergeCell ref="C66:G66"/>
    <mergeCell ref="H66:J66"/>
    <mergeCell ref="K66:M66"/>
    <mergeCell ref="B102:B103"/>
    <mergeCell ref="C102:G102"/>
    <mergeCell ref="H102:J102"/>
    <mergeCell ref="K102:M102"/>
    <mergeCell ref="N102:P102"/>
  </mergeCells>
  <pageMargins left="0.7" right="0.7" top="0.75" bottom="0.75" header="0.3" footer="0.3"/>
  <pageSetup paperSize="9" orientation="portrait" verticalDpi="0" r:id="rId1"/>
  <customProperties>
    <customPr name="SSC_SHEET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0"/>
  <sheetViews>
    <sheetView workbookViewId="0"/>
  </sheetViews>
  <sheetFormatPr defaultRowHeight="14.5" x14ac:dyDescent="0.35"/>
  <sheetData>
    <row r="1" spans="1:5" x14ac:dyDescent="0.35">
      <c r="A1" t="s">
        <v>16</v>
      </c>
      <c r="B1" t="s">
        <v>115</v>
      </c>
      <c r="C1" t="s">
        <v>28</v>
      </c>
      <c r="D1" t="s">
        <v>129</v>
      </c>
      <c r="E1" t="s">
        <v>15</v>
      </c>
    </row>
    <row r="2" spans="1:5" x14ac:dyDescent="0.35">
      <c r="A2" t="s">
        <v>20</v>
      </c>
      <c r="B2" t="s">
        <v>23</v>
      </c>
      <c r="C2" t="s">
        <v>156</v>
      </c>
    </row>
    <row r="3" spans="1:5" x14ac:dyDescent="0.35">
      <c r="A3" t="s">
        <v>29</v>
      </c>
      <c r="B3" t="s">
        <v>30</v>
      </c>
    </row>
    <row r="4" spans="1:5" x14ac:dyDescent="0.35">
      <c r="A4" t="s">
        <v>31</v>
      </c>
      <c r="B4" t="s">
        <v>32</v>
      </c>
    </row>
    <row r="5" spans="1:5" x14ac:dyDescent="0.35">
      <c r="A5" t="s">
        <v>33</v>
      </c>
    </row>
    <row r="6" spans="1:5" x14ac:dyDescent="0.35">
      <c r="A6" t="s">
        <v>34</v>
      </c>
      <c r="B6" t="s">
        <v>35</v>
      </c>
    </row>
    <row r="7" spans="1:5" x14ac:dyDescent="0.35">
      <c r="A7" t="s">
        <v>38</v>
      </c>
      <c r="B7" t="s">
        <v>39</v>
      </c>
    </row>
    <row r="8" spans="1:5" x14ac:dyDescent="0.35">
      <c r="A8" t="s">
        <v>40</v>
      </c>
      <c r="B8" t="s">
        <v>41</v>
      </c>
    </row>
    <row r="9" spans="1:5" x14ac:dyDescent="0.35">
      <c r="A9" t="s">
        <v>42</v>
      </c>
      <c r="B9" t="s">
        <v>43</v>
      </c>
    </row>
    <row r="10" spans="1:5" x14ac:dyDescent="0.35">
      <c r="A10" t="s">
        <v>44</v>
      </c>
      <c r="B10" t="s">
        <v>45</v>
      </c>
    </row>
    <row r="11" spans="1:5" x14ac:dyDescent="0.35">
      <c r="A11" t="s">
        <v>48</v>
      </c>
      <c r="B11" t="s">
        <v>49</v>
      </c>
    </row>
    <row r="12" spans="1:5" x14ac:dyDescent="0.35">
      <c r="A12" t="s">
        <v>51</v>
      </c>
      <c r="B12" t="s">
        <v>52</v>
      </c>
    </row>
    <row r="13" spans="1:5" x14ac:dyDescent="0.35">
      <c r="A13" t="s">
        <v>118</v>
      </c>
      <c r="B13" t="s">
        <v>119</v>
      </c>
    </row>
    <row r="14" spans="1:5" x14ac:dyDescent="0.35">
      <c r="A14" t="s">
        <v>120</v>
      </c>
      <c r="B14" t="s">
        <v>121</v>
      </c>
    </row>
    <row r="15" spans="1:5" x14ac:dyDescent="0.35">
      <c r="A15" t="s">
        <v>124</v>
      </c>
    </row>
    <row r="16" spans="1:5" x14ac:dyDescent="0.35">
      <c r="A16" t="s">
        <v>125</v>
      </c>
    </row>
    <row r="17" spans="1:2" x14ac:dyDescent="0.35">
      <c r="A17" t="s">
        <v>127</v>
      </c>
    </row>
    <row r="18" spans="1:2" x14ac:dyDescent="0.35">
      <c r="A18" t="s">
        <v>128</v>
      </c>
    </row>
    <row r="19" spans="1:2" x14ac:dyDescent="0.35">
      <c r="A19" t="s">
        <v>130</v>
      </c>
    </row>
    <row r="20" spans="1:2" x14ac:dyDescent="0.35">
      <c r="A20" t="s">
        <v>131</v>
      </c>
    </row>
    <row r="21" spans="1:2" x14ac:dyDescent="0.35">
      <c r="A21" t="s">
        <v>132</v>
      </c>
    </row>
    <row r="22" spans="1:2" x14ac:dyDescent="0.35">
      <c r="A22" t="s">
        <v>133</v>
      </c>
    </row>
    <row r="23" spans="1:2" x14ac:dyDescent="0.35">
      <c r="A23" t="s">
        <v>134</v>
      </c>
    </row>
    <row r="24" spans="1:2" x14ac:dyDescent="0.35">
      <c r="A24" t="s">
        <v>135</v>
      </c>
    </row>
    <row r="25" spans="1:2" x14ac:dyDescent="0.35">
      <c r="A25" t="s">
        <v>136</v>
      </c>
    </row>
    <row r="26" spans="1:2" x14ac:dyDescent="0.35">
      <c r="A26" t="s">
        <v>137</v>
      </c>
    </row>
    <row r="27" spans="1:2" x14ac:dyDescent="0.35">
      <c r="A27" t="s">
        <v>138</v>
      </c>
    </row>
    <row r="28" spans="1:2" x14ac:dyDescent="0.35">
      <c r="A28" t="s">
        <v>139</v>
      </c>
    </row>
    <row r="29" spans="1:2" x14ac:dyDescent="0.35">
      <c r="A29" t="s">
        <v>140</v>
      </c>
      <c r="B29" t="s">
        <v>141</v>
      </c>
    </row>
    <row r="30" spans="1:2" x14ac:dyDescent="0.35">
      <c r="A30" t="s">
        <v>142</v>
      </c>
      <c r="B30"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workbookViewId="0"/>
  </sheetViews>
  <sheetFormatPr defaultRowHeight="14.5" x14ac:dyDescent="0.35"/>
  <cols>
    <col min="1" max="1" width="18.6328125" bestFit="1" customWidth="1"/>
    <col min="3" max="4" width="13.54296875" bestFit="1" customWidth="1"/>
    <col min="5" max="5" width="18.6328125" bestFit="1" customWidth="1"/>
    <col min="6" max="6" width="21" bestFit="1" customWidth="1"/>
  </cols>
  <sheetData>
    <row r="1" spans="1:6" x14ac:dyDescent="0.35">
      <c r="A1" s="5" t="s">
        <v>17</v>
      </c>
      <c r="B1" s="6" t="s">
        <v>21</v>
      </c>
      <c r="C1" s="7" t="s">
        <v>21</v>
      </c>
      <c r="D1" s="7" t="s">
        <v>21</v>
      </c>
      <c r="E1" s="5" t="s">
        <v>17</v>
      </c>
      <c r="F1" s="5" t="s">
        <v>116</v>
      </c>
    </row>
    <row r="2" spans="1:6" x14ac:dyDescent="0.35">
      <c r="A2" s="5" t="s">
        <v>18</v>
      </c>
      <c r="B2" s="6" t="s">
        <v>22</v>
      </c>
      <c r="C2" s="7" t="s">
        <v>22</v>
      </c>
      <c r="D2" s="7" t="s">
        <v>22</v>
      </c>
      <c r="E2" s="5" t="s">
        <v>18</v>
      </c>
      <c r="F2" s="5" t="s">
        <v>117</v>
      </c>
    </row>
    <row r="3" spans="1:6" x14ac:dyDescent="0.35">
      <c r="B3" s="6" t="s">
        <v>3</v>
      </c>
      <c r="C3" s="7" t="s">
        <v>3</v>
      </c>
      <c r="D3" s="7"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Main</vt:lpstr>
      <vt:lpstr>Data</vt:lpstr>
      <vt:lpstr>_options1</vt:lpstr>
      <vt:lpstr>_options2</vt:lpstr>
      <vt:lpstr>_options3</vt:lpstr>
      <vt:lpstr>_options4</vt:lpstr>
      <vt:lpstr>_options5</vt:lpstr>
      <vt:lpstr>_options6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rajvirnew</dc:creator>
  <cp:lastModifiedBy>Rajvir</cp:lastModifiedBy>
  <dcterms:created xsi:type="dcterms:W3CDTF">2023-04-08T05:20:31Z</dcterms:created>
  <dcterms:modified xsi:type="dcterms:W3CDTF">2023-05-28T20:03:42Z</dcterms:modified>
</cp:coreProperties>
</file>